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7740" tabRatio="772" activeTab="2"/>
  </bookViews>
  <sheets>
    <sheet name="Cash" sheetId="1" r:id="rId1"/>
    <sheet name="Units" sheetId="2" r:id="rId2"/>
    <sheet name="Assets" sheetId="3" r:id="rId3"/>
    <sheet name="Summary" sheetId="4" r:id="rId4"/>
    <sheet name="Lloyd TSB" sheetId="5" r:id="rId5"/>
    <sheet name="Comdirect" sheetId="6" r:id="rId6"/>
    <sheet name="Chart" sheetId="7" r:id="rId7"/>
    <sheet name="Graph Data" sheetId="8" r:id="rId8"/>
  </sheets>
  <definedNames>
    <definedName name="_xlnm.Print_Area" localSheetId="2">'Assets'!#REF!</definedName>
    <definedName name="_xlnm.Print_Area" localSheetId="0">'Cash'!#REF!</definedName>
    <definedName name="_xlnm.Print_Area" localSheetId="7">'Graph Data'!$A$1:$K$50</definedName>
    <definedName name="_xlnm.Print_Area" localSheetId="1">'Units'!$A$1:$M$1</definedName>
    <definedName name="TABLE" localSheetId="2">'Assets'!#REF!</definedName>
    <definedName name="TABLE" localSheetId="0">'Cash'!#REF!</definedName>
    <definedName name="TABLE" localSheetId="7">'Graph Data'!$N$24:$N$24</definedName>
    <definedName name="TABLE_10" localSheetId="2">'Assets'!#REF!</definedName>
    <definedName name="TABLE_10" localSheetId="0">'Cash'!#REF!</definedName>
    <definedName name="TABLE_10" localSheetId="7">'Graph Data'!$AU$27:$AU$27</definedName>
    <definedName name="TABLE_11" localSheetId="2">'Assets'!#REF!</definedName>
    <definedName name="TABLE_11" localSheetId="0">'Cash'!#REF!</definedName>
    <definedName name="TABLE_11" localSheetId="7">'Graph Data'!$AU$27:$AU$27</definedName>
    <definedName name="TABLE_12" localSheetId="2">'Assets'!#REF!</definedName>
    <definedName name="TABLE_12" localSheetId="0">'Cash'!#REF!</definedName>
    <definedName name="TABLE_12" localSheetId="7">'Graph Data'!$AU$27:$AU$27</definedName>
    <definedName name="TABLE_13" localSheetId="2">'Assets'!#REF!</definedName>
    <definedName name="TABLE_13" localSheetId="0">'Cash'!#REF!</definedName>
    <definedName name="TABLE_13" localSheetId="7">'Graph Data'!$AU$27:$AU$27</definedName>
    <definedName name="TABLE_14" localSheetId="2">'Assets'!#REF!</definedName>
    <definedName name="TABLE_14" localSheetId="0">'Cash'!#REF!</definedName>
    <definedName name="TABLE_15" localSheetId="2">'Assets'!#REF!</definedName>
    <definedName name="TABLE_15" localSheetId="0">'Cash'!#REF!</definedName>
    <definedName name="TABLE_16" localSheetId="2">'Assets'!#REF!</definedName>
    <definedName name="TABLE_16" localSheetId="0">'Cash'!#REF!</definedName>
    <definedName name="TABLE_17" localSheetId="2">'Assets'!#REF!</definedName>
    <definedName name="TABLE_17" localSheetId="0">'Cash'!#REF!</definedName>
    <definedName name="TABLE_18" localSheetId="2">'Assets'!#REF!</definedName>
    <definedName name="TABLE_18" localSheetId="0">'Cash'!#REF!</definedName>
    <definedName name="TABLE_19" localSheetId="2">'Assets'!#REF!</definedName>
    <definedName name="TABLE_19" localSheetId="0">'Cash'!#REF!</definedName>
    <definedName name="TABLE_2" localSheetId="2">'Assets'!#REF!</definedName>
    <definedName name="TABLE_2" localSheetId="0">'Cash'!#REF!</definedName>
    <definedName name="TABLE_2" localSheetId="7">'Graph Data'!$O$24:$O$25</definedName>
    <definedName name="TABLE_20" localSheetId="2">'Assets'!#REF!</definedName>
    <definedName name="TABLE_20" localSheetId="0">'Cash'!#REF!</definedName>
    <definedName name="TABLE_21" localSheetId="2">'Assets'!#REF!</definedName>
    <definedName name="TABLE_21" localSheetId="0">'Cash'!#REF!</definedName>
    <definedName name="TABLE_22" localSheetId="2">'Assets'!#REF!</definedName>
    <definedName name="TABLE_22" localSheetId="0">'Cash'!#REF!</definedName>
    <definedName name="TABLE_23" localSheetId="2">'Assets'!#REF!</definedName>
    <definedName name="TABLE_23" localSheetId="0">'Cash'!#REF!</definedName>
    <definedName name="TABLE_24" localSheetId="2">'Assets'!#REF!</definedName>
    <definedName name="TABLE_24" localSheetId="0">'Cash'!#REF!</definedName>
    <definedName name="TABLE_25" localSheetId="2">'Assets'!#REF!</definedName>
    <definedName name="TABLE_25" localSheetId="0">'Cash'!#REF!</definedName>
    <definedName name="TABLE_26" localSheetId="2">'Assets'!#REF!</definedName>
    <definedName name="TABLE_26" localSheetId="0">'Cash'!#REF!</definedName>
    <definedName name="TABLE_27" localSheetId="2">'Assets'!#REF!</definedName>
    <definedName name="TABLE_27" localSheetId="0">'Cash'!#REF!</definedName>
    <definedName name="TABLE_28" localSheetId="2">'Assets'!#REF!</definedName>
    <definedName name="TABLE_28" localSheetId="0">'Cash'!#REF!</definedName>
    <definedName name="TABLE_29" localSheetId="2">'Assets'!#REF!</definedName>
    <definedName name="TABLE_29" localSheetId="0">'Cash'!#REF!</definedName>
    <definedName name="TABLE_3" localSheetId="2">'Assets'!#REF!</definedName>
    <definedName name="TABLE_3" localSheetId="0">'Cash'!#REF!</definedName>
    <definedName name="TABLE_3" localSheetId="7">'Graph Data'!$P$24:$P$25</definedName>
    <definedName name="TABLE_30" localSheetId="2">'Assets'!#REF!</definedName>
    <definedName name="TABLE_30" localSheetId="0">'Cash'!#REF!</definedName>
    <definedName name="TABLE_31" localSheetId="2">'Assets'!#REF!</definedName>
    <definedName name="TABLE_31" localSheetId="0">'Cash'!#REF!</definedName>
    <definedName name="TABLE_32" localSheetId="2">'Assets'!#REF!</definedName>
    <definedName name="TABLE_32" localSheetId="0">'Cash'!#REF!</definedName>
    <definedName name="TABLE_33" localSheetId="2">'Assets'!#REF!</definedName>
    <definedName name="TABLE_34" localSheetId="2">'Assets'!#REF!</definedName>
    <definedName name="TABLE_35" localSheetId="2">'Assets'!#REF!</definedName>
    <definedName name="TABLE_36" localSheetId="2">'Assets'!#REF!</definedName>
    <definedName name="TABLE_37" localSheetId="2">'Assets'!#REF!</definedName>
    <definedName name="TABLE_38" localSheetId="2">'Assets'!#REF!</definedName>
    <definedName name="TABLE_39" localSheetId="2">'Assets'!#REF!</definedName>
    <definedName name="TABLE_4" localSheetId="2">'Assets'!#REF!</definedName>
    <definedName name="TABLE_4" localSheetId="0">'Cash'!#REF!</definedName>
    <definedName name="TABLE_4" localSheetId="7">'Graph Data'!$V$27:$V$27</definedName>
    <definedName name="TABLE_40" localSheetId="2">'Assets'!#REF!</definedName>
    <definedName name="TABLE_41" localSheetId="2">'Assets'!#REF!</definedName>
    <definedName name="TABLE_42" localSheetId="2">'Assets'!#REF!</definedName>
    <definedName name="TABLE_43" localSheetId="2">'Assets'!#REF!</definedName>
    <definedName name="TABLE_44" localSheetId="2">'Assets'!#REF!</definedName>
    <definedName name="TABLE_45" localSheetId="2">'Assets'!#REF!</definedName>
    <definedName name="TABLE_46" localSheetId="2">'Assets'!#REF!</definedName>
    <definedName name="TABLE_47" localSheetId="2">'Assets'!#REF!</definedName>
    <definedName name="TABLE_48" localSheetId="2">'Assets'!#REF!</definedName>
    <definedName name="TABLE_49" localSheetId="2">'Assets'!#REF!</definedName>
    <definedName name="TABLE_5" localSheetId="2">'Assets'!#REF!</definedName>
    <definedName name="TABLE_5" localSheetId="0">'Cash'!#REF!</definedName>
    <definedName name="TABLE_5" localSheetId="7">'Graph Data'!$V$27:$V$27</definedName>
    <definedName name="TABLE_50" localSheetId="2">'Assets'!#REF!</definedName>
    <definedName name="TABLE_51" localSheetId="2">'Assets'!#REF!</definedName>
    <definedName name="TABLE_52" localSheetId="2">'Assets'!#REF!</definedName>
    <definedName name="TABLE_53" localSheetId="2">'Assets'!#REF!</definedName>
    <definedName name="TABLE_54" localSheetId="2">'Assets'!#REF!</definedName>
    <definedName name="TABLE_55" localSheetId="2">'Assets'!#REF!</definedName>
    <definedName name="TABLE_56" localSheetId="2">'Assets'!#REF!</definedName>
    <definedName name="TABLE_57" localSheetId="2">'Assets'!#REF!</definedName>
    <definedName name="TABLE_58" localSheetId="2">'Assets'!#REF!</definedName>
    <definedName name="TABLE_59" localSheetId="2">'Assets'!#REF!</definedName>
    <definedName name="TABLE_6" localSheetId="2">'Assets'!#REF!</definedName>
    <definedName name="TABLE_6" localSheetId="0">'Cash'!#REF!</definedName>
    <definedName name="TABLE_6" localSheetId="7">'Graph Data'!$AU$24:$AU$24</definedName>
    <definedName name="TABLE_60" localSheetId="2">'Assets'!#REF!</definedName>
    <definedName name="TABLE_61" localSheetId="2">'Assets'!#REF!</definedName>
    <definedName name="TABLE_62" localSheetId="2">'Assets'!#REF!</definedName>
    <definedName name="TABLE_63" localSheetId="2">'Assets'!#REF!</definedName>
    <definedName name="TABLE_64" localSheetId="2">'Assets'!#REF!</definedName>
    <definedName name="TABLE_65" localSheetId="2">'Assets'!#REF!</definedName>
    <definedName name="TABLE_66" localSheetId="2">'Assets'!#REF!</definedName>
    <definedName name="TABLE_67" localSheetId="2">'Assets'!#REF!</definedName>
    <definedName name="TABLE_68" localSheetId="2">'Assets'!#REF!</definedName>
    <definedName name="TABLE_7" localSheetId="2">'Assets'!#REF!</definedName>
    <definedName name="TABLE_7" localSheetId="0">'Cash'!#REF!</definedName>
    <definedName name="TABLE_7" localSheetId="7">'Graph Data'!$AU$24:$AU$24</definedName>
    <definedName name="TABLE_8" localSheetId="2">'Assets'!#REF!</definedName>
    <definedName name="TABLE_8" localSheetId="0">'Cash'!#REF!</definedName>
    <definedName name="TABLE_8" localSheetId="7">'Graph Data'!$AU$24:$AU$24</definedName>
    <definedName name="TABLE_9" localSheetId="2">'Assets'!#REF!</definedName>
    <definedName name="TABLE_9" localSheetId="0">'Cash'!#REF!</definedName>
    <definedName name="TABLE_9" localSheetId="7">'Graph Data'!$AU$24:$AU$24</definedName>
  </definedNames>
  <calcPr fullCalcOnLoad="1"/>
</workbook>
</file>

<file path=xl/comments1.xml><?xml version="1.0" encoding="utf-8"?>
<comments xmlns="http://schemas.openxmlformats.org/spreadsheetml/2006/main">
  <authors>
    <author>floyd</author>
  </authors>
  <commentList>
    <comment ref="J11" authorId="0">
      <text>
        <r>
          <rPr>
            <b/>
            <sz val="8"/>
            <color indexed="8"/>
            <rFont val="Tahoma"/>
            <family val="0"/>
          </rPr>
          <t>Owed by GF to the club</t>
        </r>
      </text>
    </comment>
    <comment ref="J33" authorId="0">
      <text>
        <r>
          <rPr>
            <b/>
            <sz val="8"/>
            <color indexed="8"/>
            <rFont val="Tahoma"/>
            <family val="0"/>
          </rPr>
          <t>floyd:</t>
        </r>
        <r>
          <rPr>
            <sz val="8"/>
            <color indexed="8"/>
            <rFont val="Tahoma"/>
            <family val="0"/>
          </rPr>
          <t xml:space="preserve">
Owed by GF to the club</t>
        </r>
      </text>
    </comment>
    <comment ref="J49" authorId="0">
      <text>
        <r>
          <rPr>
            <b/>
            <sz val="8"/>
            <color indexed="8"/>
            <rFont val="Tahoma"/>
            <family val="0"/>
          </rPr>
          <t>floyd:</t>
        </r>
        <r>
          <rPr>
            <sz val="8"/>
            <color indexed="8"/>
            <rFont val="Tahoma"/>
            <family val="0"/>
          </rPr>
          <t xml:space="preserve">
Owed by GF to the club</t>
        </r>
      </text>
    </comment>
  </commentList>
</comments>
</file>

<file path=xl/sharedStrings.xml><?xml version="1.0" encoding="utf-8"?>
<sst xmlns="http://schemas.openxmlformats.org/spreadsheetml/2006/main" count="516" uniqueCount="216">
  <si>
    <t>Receipts</t>
  </si>
  <si>
    <t>Payments</t>
  </si>
  <si>
    <t>Date</t>
  </si>
  <si>
    <t>Details</t>
  </si>
  <si>
    <t>Sundry Receipts</t>
  </si>
  <si>
    <t>Members Subs</t>
  </si>
  <si>
    <t>Interest</t>
  </si>
  <si>
    <t>Dividends</t>
  </si>
  <si>
    <t>Total Banked</t>
  </si>
  <si>
    <t>Sundry Payments</t>
  </si>
  <si>
    <t>Members Withdrawals</t>
  </si>
  <si>
    <t>Purchases of Investments</t>
  </si>
  <si>
    <t>Balance in hand</t>
  </si>
  <si>
    <t>Alan Martin</t>
  </si>
  <si>
    <t>Geoff Floyd</t>
  </si>
  <si>
    <t>ComDirect</t>
  </si>
  <si>
    <t>Balance CF</t>
  </si>
  <si>
    <t>Phil Ainsley</t>
  </si>
  <si>
    <t>Les Watson</t>
  </si>
  <si>
    <t>Franz Fuchs</t>
  </si>
  <si>
    <t>Andy Davies</t>
  </si>
  <si>
    <t>Bank A/C</t>
  </si>
  <si>
    <t>Chris Bailey</t>
  </si>
  <si>
    <t>Wez Overpayment</t>
  </si>
  <si>
    <t>Allan Proudfoot</t>
  </si>
  <si>
    <t>Broker A/C</t>
  </si>
  <si>
    <t>Pennon Group</t>
  </si>
  <si>
    <t>Personal Group</t>
  </si>
  <si>
    <t>Carnival Plc</t>
  </si>
  <si>
    <t>Brown (N) Group</t>
  </si>
  <si>
    <t>GKN Plc</t>
  </si>
  <si>
    <t>Rank Group</t>
  </si>
  <si>
    <t>Comdirect</t>
  </si>
  <si>
    <t>HSBC Holdings</t>
  </si>
  <si>
    <t>Members</t>
  </si>
  <si>
    <t>Balances</t>
  </si>
  <si>
    <t>With</t>
  </si>
  <si>
    <t>Deposits</t>
  </si>
  <si>
    <t>Unit Value</t>
  </si>
  <si>
    <t>No of Units</t>
  </si>
  <si>
    <t>Unit months</t>
  </si>
  <si>
    <t>Value</t>
  </si>
  <si>
    <t>Invested</t>
  </si>
  <si>
    <t>Profit</t>
  </si>
  <si>
    <t>Return</t>
  </si>
  <si>
    <t>Apr 2005 Asset</t>
  </si>
  <si>
    <t>Name of Company</t>
  </si>
  <si>
    <t>No shares</t>
  </si>
  <si>
    <t>Average price</t>
  </si>
  <si>
    <t>Total Cost</t>
  </si>
  <si>
    <t>Selling price</t>
  </si>
  <si>
    <t>Net selling value</t>
  </si>
  <si>
    <t>Profit or loss to date</t>
  </si>
  <si>
    <t>Change during month</t>
  </si>
  <si>
    <t>%</t>
  </si>
  <si>
    <t>Last month</t>
  </si>
  <si>
    <t>Creative Education</t>
  </si>
  <si>
    <t>Eckoch Technology</t>
  </si>
  <si>
    <t>Hardys &amp; Hansons</t>
  </si>
  <si>
    <t>HSBC</t>
  </si>
  <si>
    <t>Kelda</t>
  </si>
  <si>
    <t>Personal</t>
  </si>
  <si>
    <t>Scot Power</t>
  </si>
  <si>
    <t>Whitbread</t>
  </si>
  <si>
    <t>Total realisable value of securities</t>
  </si>
  <si>
    <t>Bank Balance</t>
  </si>
  <si>
    <t>Broker Balance</t>
  </si>
  <si>
    <t>Calculation to unit value</t>
  </si>
  <si>
    <t>Net assets</t>
  </si>
  <si>
    <t>Total Assets</t>
  </si>
  <si>
    <t xml:space="preserve">Due from club </t>
  </si>
  <si>
    <t>Issued units</t>
  </si>
  <si>
    <t>Surplus cash</t>
  </si>
  <si>
    <t>Value per unit</t>
  </si>
  <si>
    <t>Other liabilities</t>
  </si>
  <si>
    <t>Net assets of club</t>
  </si>
  <si>
    <t>Roborough Investment Club FY05/06</t>
  </si>
  <si>
    <t>Investments</t>
  </si>
  <si>
    <t>Sales</t>
  </si>
  <si>
    <t>Company</t>
  </si>
  <si>
    <t>Quantity</t>
  </si>
  <si>
    <t>Price</t>
  </si>
  <si>
    <t>Purchase Cost</t>
  </si>
  <si>
    <t>Dealing Cost</t>
  </si>
  <si>
    <t>Sales Value</t>
  </si>
  <si>
    <t>Rank</t>
  </si>
  <si>
    <t>Pennon</t>
  </si>
  <si>
    <t>Brown (N) group</t>
  </si>
  <si>
    <t>Royal Doulton</t>
  </si>
  <si>
    <t>GKN</t>
  </si>
  <si>
    <t>Carnival</t>
  </si>
  <si>
    <t>Total</t>
  </si>
  <si>
    <t xml:space="preserve">Dividend Reciepts 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</si>
  <si>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</si>
  <si>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</si>
  <si>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</si>
  <si>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</si>
  <si>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</si>
  <si>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</si>
  <si>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</si>
  <si>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</si>
  <si>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 xml:space="preserve">December </t>
  </si>
  <si>
    <t>January</t>
  </si>
  <si>
    <t>February</t>
  </si>
  <si>
    <t>March</t>
  </si>
  <si>
    <t>Lloyds TSB Interest</t>
  </si>
  <si>
    <t>Expenses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</si>
  <si>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</si>
  <si>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</si>
  <si>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</si>
  <si>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</si>
  <si>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</si>
  <si>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</si>
  <si>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</si>
  <si>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</si>
  <si>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</si>
  <si>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</si>
  <si>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Surplus realised on Club activities </t>
  </si>
  <si>
    <t>FY04/05</t>
  </si>
  <si>
    <t>FY03/04</t>
  </si>
  <si>
    <t>FY02/03</t>
  </si>
  <si>
    <t>FY01/02</t>
  </si>
  <si>
    <t>FY00/01</t>
  </si>
  <si>
    <t>Share Purchases/Sales</t>
  </si>
  <si>
    <t>Dividends received</t>
  </si>
  <si>
    <t>Interest Received</t>
  </si>
  <si>
    <t>Broker</t>
  </si>
  <si>
    <t>Bank</t>
  </si>
  <si>
    <t>Total Income</t>
  </si>
  <si>
    <t>Dealing Costs</t>
  </si>
  <si>
    <t>Other Costs</t>
  </si>
  <si>
    <t>Surplus</t>
  </si>
  <si>
    <t>Apr Statement</t>
  </si>
  <si>
    <t>Debit</t>
  </si>
  <si>
    <t>Credit</t>
  </si>
  <si>
    <t>Balance</t>
  </si>
  <si>
    <t>A&amp; S MARTIN</t>
  </si>
  <si>
    <t>FLOYD GE&amp; JM</t>
  </si>
  <si>
    <t>AINSLEY P I J</t>
  </si>
  <si>
    <t>WATSON L&amp; JE</t>
  </si>
  <si>
    <t>FUCHS F</t>
  </si>
  <si>
    <t>MRS L K DAVIES</t>
  </si>
  <si>
    <t>MR BAILEY</t>
  </si>
  <si>
    <t>PROUDFOOT AL</t>
  </si>
  <si>
    <t>A&amp; S MARTIN BGC </t>
  </si>
  <si>
    <t>FLOYD GE&amp; JM BGC </t>
  </si>
  <si>
    <t>AINSLEY P I J PP BGC </t>
  </si>
  <si>
    <t>WATSON L&amp; JE BGC </t>
  </si>
  <si>
    <t>FUCHS F MBA BGC </t>
  </si>
  <si>
    <t>PROUDFOOT AL MBA BGC</t>
  </si>
  <si>
    <t>MRS L K DAVIES BGC</t>
  </si>
  <si>
    <t>MR BAILEY BGC</t>
  </si>
  <si>
    <t>Action</t>
  </si>
  <si>
    <t>Description</t>
  </si>
  <si>
    <t>Interest Payment </t>
  </si>
  <si>
    <t>Dividend</t>
  </si>
  <si>
    <t>150 </t>
  </si>
  <si>
    <t>525 </t>
  </si>
  <si>
    <t>Sell</t>
  </si>
  <si>
    <t>30 </t>
  </si>
  <si>
    <t>800 </t>
  </si>
  <si>
    <t>396 </t>
  </si>
  <si>
    <t>385 </t>
  </si>
  <si>
    <t>May Statement</t>
  </si>
  <si>
    <t>98 </t>
  </si>
  <si>
    <t>Withdrawal</t>
  </si>
  <si>
    <t>Payment: Dealing to bank</t>
  </si>
  <si>
    <t>Cash</t>
  </si>
  <si>
    <t>Hardys</t>
  </si>
  <si>
    <t>Creative Edu.</t>
  </si>
  <si>
    <t>Shares</t>
  </si>
  <si>
    <t>Units</t>
  </si>
  <si>
    <t>FT All Share</t>
  </si>
  <si>
    <t>TM100</t>
  </si>
  <si>
    <t>COMDIRECT LTD BGC</t>
  </si>
  <si>
    <t>Stamp</t>
  </si>
  <si>
    <t>May 2005 Asset</t>
  </si>
  <si>
    <t>Eckoh Technologies</t>
  </si>
  <si>
    <t>109 </t>
  </si>
  <si>
    <t>Rights Issue - Buy</t>
  </si>
  <si>
    <t>93 </t>
  </si>
  <si>
    <t>Rights Issue - Sell</t>
  </si>
  <si>
    <t>Buy</t>
  </si>
  <si>
    <t>393 </t>
  </si>
  <si>
    <t xml:space="preserve">Whitbread </t>
  </si>
  <si>
    <t xml:space="preserve">GKN Plc </t>
  </si>
  <si>
    <t>Wyevale Garden Cen</t>
  </si>
  <si>
    <t>June Statement</t>
  </si>
  <si>
    <t>INTEREST</t>
  </si>
  <si>
    <t>Lloyds TSB</t>
  </si>
  <si>
    <t>Sramp</t>
  </si>
  <si>
    <t>Wyevale</t>
  </si>
  <si>
    <t>A&amp; S MARTIN       BGC</t>
  </si>
  <si>
    <t>FLOYD GE&amp; JM      BGC</t>
  </si>
  <si>
    <t>WATSON L&amp; JE      BGC</t>
  </si>
  <si>
    <t>FUCHS F  MBA       BGC</t>
  </si>
  <si>
    <t>MR BAILEY          BGC . /</t>
  </si>
  <si>
    <t>COMDIRECT LTD      BGC . 0155853TRAA</t>
  </si>
  <si>
    <t xml:space="preserve">PROUDFOOT AL MBA </t>
  </si>
  <si>
    <t>20/06/05  08:01 </t>
  </si>
  <si>
    <t>Order Ref: 1616545024  </t>
  </si>
  <si>
    <t>Sell  2,000   </t>
  </si>
  <si>
    <t>Eckoh Technologies Plc Ord Shares of 0.25p </t>
  </si>
  <si>
    <t>Price: Limit  0.0883  </t>
  </si>
  <si>
    <t>Value £164.10   </t>
  </si>
  <si>
    <t>Executed</t>
  </si>
  <si>
    <t>Payment: Dealing to bank 1 </t>
  </si>
  <si>
    <t>Sell - Limit Order</t>
  </si>
  <si>
    <t>June 2005 Asset</t>
  </si>
  <si>
    <t>234 </t>
  </si>
  <si>
    <t>Scottish Power</t>
  </si>
  <si>
    <t>July Statement</t>
  </si>
  <si>
    <t>Andy Davies        IB</t>
  </si>
  <si>
    <t>COMDIRECT LTD</t>
  </si>
  <si>
    <t>PROUDFOOT AL MBA</t>
  </si>
  <si>
    <t>Total 05/06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</si>
</sst>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£&quot;#,##0.00"/>
    <numFmt numFmtId="170" formatCode="d\-mmm\-yy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0"/>
      <color indexed="57"/>
      <name val="Arial"/>
      <family val="2"/>
    </font>
    <font>
      <sz val="10"/>
      <name val="Arial Unicode MS"/>
      <family val="0"/>
    </font>
    <font>
      <sz val="9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5" fontId="0" fillId="0" borderId="0" xfId="0" applyNumberFormat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5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1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2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17" fontId="1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20" xfId="0" applyBorder="1" applyAlignment="1">
      <alignment/>
    </xf>
    <xf numFmtId="2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5" xfId="0" applyNumberForma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 horizontal="right" wrapText="1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21" xfId="0" applyNumberFormat="1" applyFill="1" applyBorder="1" applyAlignment="1">
      <alignment horizontal="right" wrapText="1"/>
    </xf>
    <xf numFmtId="10" fontId="1" fillId="0" borderId="21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vertical="top"/>
    </xf>
    <xf numFmtId="2" fontId="4" fillId="0" borderId="0" xfId="0" applyNumberFormat="1" applyFont="1" applyAlignment="1">
      <alignment horizontal="center" vertical="top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5" fontId="0" fillId="0" borderId="5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5" fontId="0" fillId="0" borderId="5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5" fontId="0" fillId="0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5" fontId="0" fillId="0" borderId="0" xfId="0" applyNumberFormat="1" applyFont="1" applyAlignment="1">
      <alignment horizontal="left"/>
    </xf>
    <xf numFmtId="2" fontId="0" fillId="0" borderId="22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2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4" fontId="7" fillId="0" borderId="0" xfId="0" applyNumberFormat="1" applyFont="1" applyAlignment="1">
      <alignment/>
    </xf>
    <xf numFmtId="2" fontId="0" fillId="0" borderId="2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Border="1" applyAlignment="1">
      <alignment horizontal="right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70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top" wrapText="1"/>
    </xf>
    <xf numFmtId="17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Shares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Data'!$C$1:$BV$1</c:f>
              <c:strCache>
                <c:ptCount val="72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</c:strCache>
            </c:strRef>
          </c:cat>
          <c:val>
            <c:numRef>
              <c:f>'Graph Data'!$C$15:$BV$15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475.02</c:v>
                </c:pt>
                <c:pt idx="3">
                  <c:v>1000.58</c:v>
                </c:pt>
                <c:pt idx="4">
                  <c:v>2381.79</c:v>
                </c:pt>
                <c:pt idx="5">
                  <c:v>2674.04</c:v>
                </c:pt>
                <c:pt idx="6">
                  <c:v>2455.71</c:v>
                </c:pt>
                <c:pt idx="7">
                  <c:v>4640.66</c:v>
                </c:pt>
                <c:pt idx="8">
                  <c:v>4406.49</c:v>
                </c:pt>
                <c:pt idx="9">
                  <c:v>4793.97</c:v>
                </c:pt>
                <c:pt idx="10">
                  <c:v>6532.73</c:v>
                </c:pt>
                <c:pt idx="11">
                  <c:v>6851.71</c:v>
                </c:pt>
                <c:pt idx="12">
                  <c:v>7626.62</c:v>
                </c:pt>
                <c:pt idx="13">
                  <c:v>5265.52</c:v>
                </c:pt>
                <c:pt idx="14">
                  <c:v>6671.08</c:v>
                </c:pt>
                <c:pt idx="15">
                  <c:v>7585.55</c:v>
                </c:pt>
                <c:pt idx="16">
                  <c:v>6219.57</c:v>
                </c:pt>
                <c:pt idx="17">
                  <c:v>7928.2</c:v>
                </c:pt>
                <c:pt idx="18">
                  <c:v>6176.06</c:v>
                </c:pt>
                <c:pt idx="19">
                  <c:v>8081.7</c:v>
                </c:pt>
                <c:pt idx="20">
                  <c:v>4434.57</c:v>
                </c:pt>
                <c:pt idx="21">
                  <c:v>6527.26</c:v>
                </c:pt>
                <c:pt idx="22">
                  <c:v>6540.35</c:v>
                </c:pt>
                <c:pt idx="23">
                  <c:v>4616.82</c:v>
                </c:pt>
                <c:pt idx="24">
                  <c:v>3672.22</c:v>
                </c:pt>
                <c:pt idx="25">
                  <c:v>6578.66</c:v>
                </c:pt>
                <c:pt idx="26">
                  <c:v>4801.52</c:v>
                </c:pt>
                <c:pt idx="27">
                  <c:v>6227.83</c:v>
                </c:pt>
                <c:pt idx="28">
                  <c:v>7479.22</c:v>
                </c:pt>
                <c:pt idx="29">
                  <c:v>6187.4</c:v>
                </c:pt>
                <c:pt idx="30">
                  <c:v>4861.54</c:v>
                </c:pt>
                <c:pt idx="31">
                  <c:v>5563.1</c:v>
                </c:pt>
                <c:pt idx="32">
                  <c:v>9591.69</c:v>
                </c:pt>
                <c:pt idx="33">
                  <c:v>8493.79</c:v>
                </c:pt>
                <c:pt idx="34">
                  <c:v>7121.65</c:v>
                </c:pt>
                <c:pt idx="35">
                  <c:v>6442.59</c:v>
                </c:pt>
                <c:pt idx="36">
                  <c:v>4351.91</c:v>
                </c:pt>
                <c:pt idx="37">
                  <c:v>4476.31</c:v>
                </c:pt>
                <c:pt idx="38">
                  <c:v>4694.36</c:v>
                </c:pt>
                <c:pt idx="39">
                  <c:v>5957.93</c:v>
                </c:pt>
                <c:pt idx="40">
                  <c:v>6025.29</c:v>
                </c:pt>
                <c:pt idx="41">
                  <c:v>6433.76</c:v>
                </c:pt>
                <c:pt idx="42">
                  <c:v>6796.08</c:v>
                </c:pt>
                <c:pt idx="43">
                  <c:v>6439.39</c:v>
                </c:pt>
                <c:pt idx="44">
                  <c:v>7141.31</c:v>
                </c:pt>
                <c:pt idx="45">
                  <c:v>8907.4</c:v>
                </c:pt>
                <c:pt idx="46">
                  <c:v>8533.88</c:v>
                </c:pt>
                <c:pt idx="47">
                  <c:v>6536.55</c:v>
                </c:pt>
                <c:pt idx="48">
                  <c:v>7059.56</c:v>
                </c:pt>
                <c:pt idx="49">
                  <c:v>9107.09</c:v>
                </c:pt>
                <c:pt idx="50">
                  <c:v>7451.16</c:v>
                </c:pt>
                <c:pt idx="51">
                  <c:v>7754.48</c:v>
                </c:pt>
                <c:pt idx="52">
                  <c:v>11151.08</c:v>
                </c:pt>
                <c:pt idx="53">
                  <c:v>13001.96</c:v>
                </c:pt>
                <c:pt idx="54">
                  <c:v>13234.59</c:v>
                </c:pt>
                <c:pt idx="55">
                  <c:v>13144.09</c:v>
                </c:pt>
                <c:pt idx="56">
                  <c:v>10513.98</c:v>
                </c:pt>
                <c:pt idx="57">
                  <c:v>13644.1</c:v>
                </c:pt>
                <c:pt idx="58">
                  <c:v>13492.07</c:v>
                </c:pt>
                <c:pt idx="59">
                  <c:v>12765.65</c:v>
                </c:pt>
                <c:pt idx="60">
                  <c:v>13241.73</c:v>
                </c:pt>
                <c:pt idx="61">
                  <c:v>13695.94</c:v>
                </c:pt>
                <c:pt idx="62">
                  <c:v>13390.32</c:v>
                </c:pt>
                <c:pt idx="63">
                  <c:v>14969.99</c:v>
                </c:pt>
                <c:pt idx="64">
                  <c:v>17046.36</c:v>
                </c:pt>
                <c:pt idx="65">
                  <c:v>15354.25</c:v>
                </c:pt>
                <c:pt idx="66">
                  <c:v>12607.65</c:v>
                </c:pt>
                <c:pt idx="67">
                  <c:v>12351.1</c:v>
                </c:pt>
                <c:pt idx="68">
                  <c:v>12255.15</c:v>
                </c:pt>
                <c:pt idx="69">
                  <c:v>8423.8</c:v>
                </c:pt>
                <c:pt idx="70">
                  <c:v>10240.669999999998</c:v>
                </c:pt>
                <c:pt idx="71">
                  <c:v>10463.910000000002</c:v>
                </c:pt>
              </c:numCache>
            </c:numRef>
          </c:val>
        </c:ser>
        <c:ser>
          <c:idx val="1"/>
          <c:order val="1"/>
          <c:tx>
            <c:v>Cash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Data'!$C$1:$BV$1</c:f>
              <c:strCache>
                <c:ptCount val="72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</c:strCache>
            </c:strRef>
          </c:cat>
          <c:val>
            <c:numRef>
              <c:f>'Graph Data'!$C$16:$BV$16</c:f>
              <c:numCache>
                <c:ptCount val="72"/>
                <c:pt idx="0">
                  <c:v>800.01</c:v>
                </c:pt>
                <c:pt idx="1">
                  <c:v>1100.06</c:v>
                </c:pt>
                <c:pt idx="2">
                  <c:v>898.35</c:v>
                </c:pt>
                <c:pt idx="3">
                  <c:v>680.7</c:v>
                </c:pt>
                <c:pt idx="4">
                  <c:v>462.78</c:v>
                </c:pt>
                <c:pt idx="5">
                  <c:v>252.93</c:v>
                </c:pt>
                <c:pt idx="6">
                  <c:v>1593.83</c:v>
                </c:pt>
                <c:pt idx="7">
                  <c:v>1281.26</c:v>
                </c:pt>
                <c:pt idx="8">
                  <c:v>1644.98</c:v>
                </c:pt>
                <c:pt idx="9">
                  <c:v>1197.95</c:v>
                </c:pt>
                <c:pt idx="10">
                  <c:v>103.44</c:v>
                </c:pt>
                <c:pt idx="11">
                  <c:v>765.24</c:v>
                </c:pt>
                <c:pt idx="12">
                  <c:v>272.04</c:v>
                </c:pt>
                <c:pt idx="13">
                  <c:v>3092.16</c:v>
                </c:pt>
                <c:pt idx="14">
                  <c:v>1606.71</c:v>
                </c:pt>
                <c:pt idx="15">
                  <c:v>1060.33</c:v>
                </c:pt>
                <c:pt idx="16">
                  <c:v>2040.28</c:v>
                </c:pt>
                <c:pt idx="17">
                  <c:v>604.44</c:v>
                </c:pt>
                <c:pt idx="18">
                  <c:v>3147.48</c:v>
                </c:pt>
                <c:pt idx="19">
                  <c:v>1122.46</c:v>
                </c:pt>
                <c:pt idx="20">
                  <c:v>4377.65</c:v>
                </c:pt>
                <c:pt idx="21">
                  <c:v>1697.41</c:v>
                </c:pt>
                <c:pt idx="22">
                  <c:v>2217.42</c:v>
                </c:pt>
                <c:pt idx="23">
                  <c:v>4651.11</c:v>
                </c:pt>
                <c:pt idx="24">
                  <c:v>5567.17</c:v>
                </c:pt>
                <c:pt idx="25">
                  <c:v>2488.07</c:v>
                </c:pt>
                <c:pt idx="26">
                  <c:v>3785.91</c:v>
                </c:pt>
                <c:pt idx="27">
                  <c:v>2857.17</c:v>
                </c:pt>
                <c:pt idx="28">
                  <c:v>2434.59</c:v>
                </c:pt>
                <c:pt idx="29">
                  <c:v>3983.82</c:v>
                </c:pt>
                <c:pt idx="30">
                  <c:v>5217.13</c:v>
                </c:pt>
                <c:pt idx="31">
                  <c:v>4413.48</c:v>
                </c:pt>
                <c:pt idx="32">
                  <c:v>743.7099999999994</c:v>
                </c:pt>
                <c:pt idx="33">
                  <c:v>2380.34</c:v>
                </c:pt>
                <c:pt idx="34">
                  <c:v>3903.28</c:v>
                </c:pt>
                <c:pt idx="35">
                  <c:v>4092.48</c:v>
                </c:pt>
                <c:pt idx="36">
                  <c:v>5430.73</c:v>
                </c:pt>
                <c:pt idx="37">
                  <c:v>5864.71</c:v>
                </c:pt>
                <c:pt idx="38">
                  <c:v>4829.16</c:v>
                </c:pt>
                <c:pt idx="39">
                  <c:v>3664.86</c:v>
                </c:pt>
                <c:pt idx="40">
                  <c:v>4050.29</c:v>
                </c:pt>
                <c:pt idx="41">
                  <c:v>4157.23</c:v>
                </c:pt>
                <c:pt idx="42">
                  <c:v>3521.81</c:v>
                </c:pt>
                <c:pt idx="43">
                  <c:v>4044.73</c:v>
                </c:pt>
                <c:pt idx="44">
                  <c:v>3567.98</c:v>
                </c:pt>
                <c:pt idx="45">
                  <c:v>2669.74</c:v>
                </c:pt>
                <c:pt idx="46">
                  <c:v>4191.29</c:v>
                </c:pt>
                <c:pt idx="47">
                  <c:v>6614.23</c:v>
                </c:pt>
                <c:pt idx="48">
                  <c:v>7021.59</c:v>
                </c:pt>
                <c:pt idx="49">
                  <c:v>5410.88</c:v>
                </c:pt>
                <c:pt idx="50">
                  <c:v>7328.32</c:v>
                </c:pt>
                <c:pt idx="51">
                  <c:v>7870.58</c:v>
                </c:pt>
                <c:pt idx="52">
                  <c:v>4817.71</c:v>
                </c:pt>
                <c:pt idx="53">
                  <c:v>1704.75</c:v>
                </c:pt>
                <c:pt idx="54">
                  <c:v>1704.27</c:v>
                </c:pt>
                <c:pt idx="55">
                  <c:v>2247</c:v>
                </c:pt>
                <c:pt idx="56">
                  <c:v>5154.88</c:v>
                </c:pt>
                <c:pt idx="57">
                  <c:v>2507.53</c:v>
                </c:pt>
                <c:pt idx="58">
                  <c:v>2898.08</c:v>
                </c:pt>
                <c:pt idx="59">
                  <c:v>4097.64</c:v>
                </c:pt>
                <c:pt idx="60">
                  <c:v>3545.5</c:v>
                </c:pt>
                <c:pt idx="61">
                  <c:v>3927.97</c:v>
                </c:pt>
                <c:pt idx="62">
                  <c:v>4603.27</c:v>
                </c:pt>
                <c:pt idx="63">
                  <c:v>4138.79</c:v>
                </c:pt>
                <c:pt idx="64">
                  <c:v>1051.17</c:v>
                </c:pt>
                <c:pt idx="65">
                  <c:v>3398.12</c:v>
                </c:pt>
                <c:pt idx="66">
                  <c:v>7173.43</c:v>
                </c:pt>
                <c:pt idx="67">
                  <c:v>5395.16</c:v>
                </c:pt>
                <c:pt idx="68">
                  <c:v>3547.9</c:v>
                </c:pt>
                <c:pt idx="69">
                  <c:v>7485.6900000000005</c:v>
                </c:pt>
                <c:pt idx="70">
                  <c:v>4074.1499999999996</c:v>
                </c:pt>
                <c:pt idx="71">
                  <c:v>2275.5999999999995</c:v>
                </c:pt>
              </c:numCache>
            </c:numRef>
          </c:val>
        </c:ser>
        <c:axId val="32868106"/>
        <c:axId val="27377499"/>
      </c:areaChart>
      <c:dateAx>
        <c:axId val="32868106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0"/>
        <c:noMultiLvlLbl val="0"/>
      </c:dateAx>
      <c:valAx>
        <c:axId val="27377499"/>
        <c:scaling>
          <c:orientation val="minMax"/>
          <c:max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681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104775</xdr:rowOff>
    </xdr:from>
    <xdr:to>
      <xdr:col>1</xdr:col>
      <xdr:colOff>9525</xdr:colOff>
      <xdr:row>36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7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104775</xdr:rowOff>
    </xdr:from>
    <xdr:to>
      <xdr:col>5</xdr:col>
      <xdr:colOff>9525</xdr:colOff>
      <xdr:row>36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57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171450</xdr:rowOff>
    </xdr:from>
    <xdr:to>
      <xdr:col>1</xdr:col>
      <xdr:colOff>9525</xdr:colOff>
      <xdr:row>36</xdr:row>
      <xdr:rowOff>38100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171450</xdr:rowOff>
    </xdr:from>
    <xdr:to>
      <xdr:col>5</xdr:col>
      <xdr:colOff>9525</xdr:colOff>
      <xdr:row>36</xdr:row>
      <xdr:rowOff>38100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171450</xdr:rowOff>
    </xdr:from>
    <xdr:to>
      <xdr:col>1</xdr:col>
      <xdr:colOff>9525</xdr:colOff>
      <xdr:row>35</xdr:row>
      <xdr:rowOff>142875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171450</xdr:rowOff>
    </xdr:from>
    <xdr:to>
      <xdr:col>5</xdr:col>
      <xdr:colOff>9525</xdr:colOff>
      <xdr:row>35</xdr:row>
      <xdr:rowOff>142875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171450</xdr:rowOff>
    </xdr:from>
    <xdr:to>
      <xdr:col>9</xdr:col>
      <xdr:colOff>9525</xdr:colOff>
      <xdr:row>24</xdr:row>
      <xdr:rowOff>76200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171450</xdr:rowOff>
    </xdr:from>
    <xdr:to>
      <xdr:col>12</xdr:col>
      <xdr:colOff>9525</xdr:colOff>
      <xdr:row>24</xdr:row>
      <xdr:rowOff>76200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171450</xdr:rowOff>
    </xdr:from>
    <xdr:to>
      <xdr:col>9</xdr:col>
      <xdr:colOff>9525</xdr:colOff>
      <xdr:row>23</xdr:row>
      <xdr:rowOff>66675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171450</xdr:rowOff>
    </xdr:from>
    <xdr:to>
      <xdr:col>12</xdr:col>
      <xdr:colOff>9525</xdr:colOff>
      <xdr:row>23</xdr:row>
      <xdr:rowOff>66675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171450</xdr:rowOff>
    </xdr:from>
    <xdr:to>
      <xdr:col>9</xdr:col>
      <xdr:colOff>9525</xdr:colOff>
      <xdr:row>25</xdr:row>
      <xdr:rowOff>114300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171450</xdr:rowOff>
    </xdr:from>
    <xdr:to>
      <xdr:col>12</xdr:col>
      <xdr:colOff>9525</xdr:colOff>
      <xdr:row>25</xdr:row>
      <xdr:rowOff>114300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2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66675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66675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57150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171450</xdr:rowOff>
    </xdr:from>
    <xdr:to>
      <xdr:col>1</xdr:col>
      <xdr:colOff>9525</xdr:colOff>
      <xdr:row>50</xdr:row>
      <xdr:rowOff>76200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83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171450</xdr:rowOff>
    </xdr:from>
    <xdr:to>
      <xdr:col>12</xdr:col>
      <xdr:colOff>9525</xdr:colOff>
      <xdr:row>43</xdr:row>
      <xdr:rowOff>76200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63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171450</xdr:rowOff>
    </xdr:from>
    <xdr:to>
      <xdr:col>1</xdr:col>
      <xdr:colOff>9525</xdr:colOff>
      <xdr:row>49</xdr:row>
      <xdr:rowOff>66675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83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171450</xdr:rowOff>
    </xdr:from>
    <xdr:to>
      <xdr:col>12</xdr:col>
      <xdr:colOff>9525</xdr:colOff>
      <xdr:row>42</xdr:row>
      <xdr:rowOff>66675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63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171450</xdr:rowOff>
    </xdr:from>
    <xdr:to>
      <xdr:col>1</xdr:col>
      <xdr:colOff>9525</xdr:colOff>
      <xdr:row>51</xdr:row>
      <xdr:rowOff>114300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83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171450</xdr:rowOff>
    </xdr:from>
    <xdr:to>
      <xdr:col>12</xdr:col>
      <xdr:colOff>9525</xdr:colOff>
      <xdr:row>44</xdr:row>
      <xdr:rowOff>114300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63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1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9525</xdr:colOff>
      <xdr:row>42</xdr:row>
      <xdr:rowOff>9525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3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57</xdr:row>
      <xdr:rowOff>57150</xdr:rowOff>
    </xdr:to>
    <xdr:pic>
      <xdr:nvPicPr>
        <xdr:cNvPr id="14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4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4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4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15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15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56</xdr:row>
      <xdr:rowOff>9525</xdr:rowOff>
    </xdr:to>
    <xdr:pic>
      <xdr:nvPicPr>
        <xdr:cNvPr id="15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57</xdr:row>
      <xdr:rowOff>57150</xdr:rowOff>
    </xdr:to>
    <xdr:pic>
      <xdr:nvPicPr>
        <xdr:cNvPr id="15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4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5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15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5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83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5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83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6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16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161925</xdr:rowOff>
    </xdr:from>
    <xdr:to>
      <xdr:col>0</xdr:col>
      <xdr:colOff>9525</xdr:colOff>
      <xdr:row>37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0</xdr:col>
      <xdr:colOff>9525</xdr:colOff>
      <xdr:row>36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0</xdr:col>
      <xdr:colOff>9525</xdr:colOff>
      <xdr:row>38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161925</xdr:rowOff>
    </xdr:from>
    <xdr:to>
      <xdr:col>0</xdr:col>
      <xdr:colOff>9525</xdr:colOff>
      <xdr:row>61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161925</xdr:rowOff>
    </xdr:from>
    <xdr:to>
      <xdr:col>0</xdr:col>
      <xdr:colOff>9525</xdr:colOff>
      <xdr:row>60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161925</xdr:rowOff>
    </xdr:from>
    <xdr:to>
      <xdr:col>0</xdr:col>
      <xdr:colOff>9525</xdr:colOff>
      <xdr:row>62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75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314325</xdr:colOff>
      <xdr:row>74</xdr:row>
      <xdr:rowOff>19050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2050"/>
          <a:ext cx="1752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</xdr:colOff>
      <xdr:row>74</xdr:row>
      <xdr:rowOff>9525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457200</xdr:colOff>
      <xdr:row>74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592050"/>
          <a:ext cx="457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457200</xdr:colOff>
      <xdr:row>74</xdr:row>
      <xdr:rowOff>9525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2592050"/>
          <a:ext cx="457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19050</xdr:colOff>
      <xdr:row>74</xdr:row>
      <xdr:rowOff>9525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74</xdr:row>
      <xdr:rowOff>9525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2592050"/>
          <a:ext cx="304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19050</xdr:colOff>
      <xdr:row>74</xdr:row>
      <xdr:rowOff>9525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304800</xdr:colOff>
      <xdr:row>74</xdr:row>
      <xdr:rowOff>9525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2592050"/>
          <a:ext cx="304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19050</xdr:colOff>
      <xdr:row>74</xdr:row>
      <xdr:rowOff>9525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14</xdr:col>
      <xdr:colOff>0</xdr:colOff>
      <xdr:row>74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2592050"/>
          <a:ext cx="609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</xdr:colOff>
      <xdr:row>74</xdr:row>
      <xdr:rowOff>9525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609600</xdr:colOff>
      <xdr:row>74</xdr:row>
      <xdr:rowOff>9525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2592050"/>
          <a:ext cx="609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38100</xdr:colOff>
      <xdr:row>74</xdr:row>
      <xdr:rowOff>9525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125920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</xdr:colOff>
      <xdr:row>74</xdr:row>
      <xdr:rowOff>9525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19</xdr:col>
      <xdr:colOff>0</xdr:colOff>
      <xdr:row>74</xdr:row>
      <xdr:rowOff>9525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2592050"/>
          <a:ext cx="609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3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3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3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4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4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4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4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4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4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4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4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4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4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5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5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5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5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5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5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5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5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5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6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6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6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6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6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6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7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7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7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9525</xdr:rowOff>
    </xdr:to>
    <xdr:pic>
      <xdr:nvPicPr>
        <xdr:cNvPr id="7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</xdr:colOff>
      <xdr:row>74</xdr:row>
      <xdr:rowOff>9525</xdr:rowOff>
    </xdr:to>
    <xdr:pic>
      <xdr:nvPicPr>
        <xdr:cNvPr id="7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75</xdr:row>
      <xdr:rowOff>66675</xdr:rowOff>
    </xdr:to>
    <xdr:pic>
      <xdr:nvPicPr>
        <xdr:cNvPr id="7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5920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7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9525</xdr:colOff>
      <xdr:row>74</xdr:row>
      <xdr:rowOff>9525</xdr:rowOff>
    </xdr:to>
    <xdr:pic>
      <xdr:nvPicPr>
        <xdr:cNvPr id="7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8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25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104775</xdr:rowOff>
    </xdr:from>
    <xdr:to>
      <xdr:col>1</xdr:col>
      <xdr:colOff>9525</xdr:colOff>
      <xdr:row>29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104775</xdr:rowOff>
    </xdr:from>
    <xdr:to>
      <xdr:col>3</xdr:col>
      <xdr:colOff>9525</xdr:colOff>
      <xdr:row>29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161925</xdr:rowOff>
    </xdr:from>
    <xdr:to>
      <xdr:col>1</xdr:col>
      <xdr:colOff>9525</xdr:colOff>
      <xdr:row>29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161925</xdr:rowOff>
    </xdr:from>
    <xdr:to>
      <xdr:col>3</xdr:col>
      <xdr:colOff>9525</xdr:colOff>
      <xdr:row>29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161925</xdr:rowOff>
    </xdr:from>
    <xdr:to>
      <xdr:col>1</xdr:col>
      <xdr:colOff>9525</xdr:colOff>
      <xdr:row>28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161925</xdr:rowOff>
    </xdr:from>
    <xdr:to>
      <xdr:col>3</xdr:col>
      <xdr:colOff>9525</xdr:colOff>
      <xdr:row>28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161925</xdr:rowOff>
    </xdr:from>
    <xdr:to>
      <xdr:col>1</xdr:col>
      <xdr:colOff>9525</xdr:colOff>
      <xdr:row>21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161925</xdr:rowOff>
    </xdr:from>
    <xdr:to>
      <xdr:col>1</xdr:col>
      <xdr:colOff>9525</xdr:colOff>
      <xdr:row>20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161925</xdr:rowOff>
    </xdr:from>
    <xdr:to>
      <xdr:col>1</xdr:col>
      <xdr:colOff>9525</xdr:colOff>
      <xdr:row>22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161925</xdr:rowOff>
    </xdr:from>
    <xdr:to>
      <xdr:col>6</xdr:col>
      <xdr:colOff>9525</xdr:colOff>
      <xdr:row>28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161925</xdr:rowOff>
    </xdr:from>
    <xdr:to>
      <xdr:col>6</xdr:col>
      <xdr:colOff>9525</xdr:colOff>
      <xdr:row>27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161925</xdr:rowOff>
    </xdr:from>
    <xdr:to>
      <xdr:col>6</xdr:col>
      <xdr:colOff>9525</xdr:colOff>
      <xdr:row>29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5720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4194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104775</xdr:rowOff>
    </xdr:from>
    <xdr:to>
      <xdr:col>2</xdr:col>
      <xdr:colOff>9525</xdr:colOff>
      <xdr:row>22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104775</xdr:rowOff>
    </xdr:from>
    <xdr:to>
      <xdr:col>2</xdr:col>
      <xdr:colOff>9525</xdr:colOff>
      <xdr:row>22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104775</xdr:rowOff>
    </xdr:from>
    <xdr:to>
      <xdr:col>3</xdr:col>
      <xdr:colOff>9525</xdr:colOff>
      <xdr:row>22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104775</xdr:rowOff>
    </xdr:from>
    <xdr:to>
      <xdr:col>4</xdr:col>
      <xdr:colOff>9525</xdr:colOff>
      <xdr:row>22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104775</xdr:rowOff>
    </xdr:from>
    <xdr:to>
      <xdr:col>5</xdr:col>
      <xdr:colOff>9525</xdr:colOff>
      <xdr:row>22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104775</xdr:rowOff>
    </xdr:from>
    <xdr:to>
      <xdr:col>6</xdr:col>
      <xdr:colOff>9525</xdr:colOff>
      <xdr:row>22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161925</xdr:rowOff>
    </xdr:from>
    <xdr:to>
      <xdr:col>2</xdr:col>
      <xdr:colOff>9525</xdr:colOff>
      <xdr:row>21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575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161925</xdr:rowOff>
    </xdr:from>
    <xdr:to>
      <xdr:col>2</xdr:col>
      <xdr:colOff>9525</xdr:colOff>
      <xdr:row>20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161925</xdr:rowOff>
    </xdr:from>
    <xdr:to>
      <xdr:col>2</xdr:col>
      <xdr:colOff>9525</xdr:colOff>
      <xdr:row>20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161925</xdr:rowOff>
    </xdr:from>
    <xdr:to>
      <xdr:col>3</xdr:col>
      <xdr:colOff>9525</xdr:colOff>
      <xdr:row>20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161925</xdr:rowOff>
    </xdr:from>
    <xdr:to>
      <xdr:col>4</xdr:col>
      <xdr:colOff>9525</xdr:colOff>
      <xdr:row>20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161925</xdr:rowOff>
    </xdr:from>
    <xdr:to>
      <xdr:col>5</xdr:col>
      <xdr:colOff>9525</xdr:colOff>
      <xdr:row>20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161925</xdr:rowOff>
    </xdr:from>
    <xdr:to>
      <xdr:col>6</xdr:col>
      <xdr:colOff>9525</xdr:colOff>
      <xdr:row>20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161925</xdr:rowOff>
    </xdr:from>
    <xdr:to>
      <xdr:col>2</xdr:col>
      <xdr:colOff>9525</xdr:colOff>
      <xdr:row>21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095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161925</xdr:rowOff>
    </xdr:from>
    <xdr:to>
      <xdr:col>2</xdr:col>
      <xdr:colOff>9525</xdr:colOff>
      <xdr:row>19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161925</xdr:rowOff>
    </xdr:from>
    <xdr:to>
      <xdr:col>2</xdr:col>
      <xdr:colOff>9525</xdr:colOff>
      <xdr:row>19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161925</xdr:rowOff>
    </xdr:from>
    <xdr:to>
      <xdr:col>3</xdr:col>
      <xdr:colOff>9525</xdr:colOff>
      <xdr:row>19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161925</xdr:rowOff>
    </xdr:from>
    <xdr:to>
      <xdr:col>4</xdr:col>
      <xdr:colOff>9525</xdr:colOff>
      <xdr:row>19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161925</xdr:rowOff>
    </xdr:from>
    <xdr:to>
      <xdr:col>5</xdr:col>
      <xdr:colOff>9525</xdr:colOff>
      <xdr:row>19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161925</xdr:rowOff>
    </xdr:from>
    <xdr:to>
      <xdr:col>6</xdr:col>
      <xdr:colOff>9525</xdr:colOff>
      <xdr:row>19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20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19</xdr:row>
      <xdr:rowOff>95250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19</xdr:row>
      <xdr:rowOff>95250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161925</xdr:rowOff>
    </xdr:from>
    <xdr:to>
      <xdr:col>3</xdr:col>
      <xdr:colOff>9525</xdr:colOff>
      <xdr:row>19</xdr:row>
      <xdr:rowOff>95250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161925</xdr:rowOff>
    </xdr:from>
    <xdr:to>
      <xdr:col>4</xdr:col>
      <xdr:colOff>9525</xdr:colOff>
      <xdr:row>19</xdr:row>
      <xdr:rowOff>95250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161925</xdr:rowOff>
    </xdr:from>
    <xdr:to>
      <xdr:col>5</xdr:col>
      <xdr:colOff>9525</xdr:colOff>
      <xdr:row>19</xdr:row>
      <xdr:rowOff>95250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161925</xdr:rowOff>
    </xdr:from>
    <xdr:to>
      <xdr:col>6</xdr:col>
      <xdr:colOff>9525</xdr:colOff>
      <xdr:row>19</xdr:row>
      <xdr:rowOff>95250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26</xdr:row>
      <xdr:rowOff>133350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18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18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161925</xdr:rowOff>
    </xdr:from>
    <xdr:to>
      <xdr:col>3</xdr:col>
      <xdr:colOff>9525</xdr:colOff>
      <xdr:row>18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161925</xdr:rowOff>
    </xdr:from>
    <xdr:to>
      <xdr:col>4</xdr:col>
      <xdr:colOff>9525</xdr:colOff>
      <xdr:row>18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161925</xdr:rowOff>
    </xdr:from>
    <xdr:to>
      <xdr:col>5</xdr:col>
      <xdr:colOff>9525</xdr:colOff>
      <xdr:row>18</xdr:row>
      <xdr:rowOff>76200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161925</xdr:rowOff>
    </xdr:from>
    <xdr:to>
      <xdr:col>6</xdr:col>
      <xdr:colOff>9525</xdr:colOff>
      <xdr:row>18</xdr:row>
      <xdr:rowOff>76200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26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20</xdr:row>
      <xdr:rowOff>142875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161925</xdr:rowOff>
    </xdr:from>
    <xdr:to>
      <xdr:col>2</xdr:col>
      <xdr:colOff>9525</xdr:colOff>
      <xdr:row>20</xdr:row>
      <xdr:rowOff>142875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161925</xdr:rowOff>
    </xdr:from>
    <xdr:to>
      <xdr:col>3</xdr:col>
      <xdr:colOff>9525</xdr:colOff>
      <xdr:row>20</xdr:row>
      <xdr:rowOff>142875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161925</xdr:rowOff>
    </xdr:from>
    <xdr:to>
      <xdr:col>4</xdr:col>
      <xdr:colOff>9525</xdr:colOff>
      <xdr:row>20</xdr:row>
      <xdr:rowOff>142875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161925</xdr:rowOff>
    </xdr:from>
    <xdr:to>
      <xdr:col>5</xdr:col>
      <xdr:colOff>9525</xdr:colOff>
      <xdr:row>20</xdr:row>
      <xdr:rowOff>142875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161925</xdr:rowOff>
    </xdr:from>
    <xdr:to>
      <xdr:col>6</xdr:col>
      <xdr:colOff>9525</xdr:colOff>
      <xdr:row>20</xdr:row>
      <xdr:rowOff>142875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26</xdr:row>
      <xdr:rowOff>133350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26</xdr:row>
      <xdr:rowOff>133350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47625</xdr:rowOff>
    </xdr:from>
    <xdr:to>
      <xdr:col>2</xdr:col>
      <xdr:colOff>9525</xdr:colOff>
      <xdr:row>26</xdr:row>
      <xdr:rowOff>228600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13385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47625</xdr:rowOff>
    </xdr:from>
    <xdr:to>
      <xdr:col>4</xdr:col>
      <xdr:colOff>9525</xdr:colOff>
      <xdr:row>25</xdr:row>
      <xdr:rowOff>57150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47625</xdr:rowOff>
    </xdr:from>
    <xdr:to>
      <xdr:col>6</xdr:col>
      <xdr:colOff>9525</xdr:colOff>
      <xdr:row>25</xdr:row>
      <xdr:rowOff>57150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47625</xdr:rowOff>
    </xdr:from>
    <xdr:to>
      <xdr:col>8</xdr:col>
      <xdr:colOff>9525</xdr:colOff>
      <xdr:row>25</xdr:row>
      <xdr:rowOff>57150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47625</xdr:rowOff>
    </xdr:from>
    <xdr:to>
      <xdr:col>10</xdr:col>
      <xdr:colOff>9525</xdr:colOff>
      <xdr:row>25</xdr:row>
      <xdr:rowOff>57150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47625</xdr:rowOff>
    </xdr:from>
    <xdr:to>
      <xdr:col>12</xdr:col>
      <xdr:colOff>9525</xdr:colOff>
      <xdr:row>25</xdr:row>
      <xdr:rowOff>57150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47625</xdr:rowOff>
    </xdr:from>
    <xdr:to>
      <xdr:col>14</xdr:col>
      <xdr:colOff>9525</xdr:colOff>
      <xdr:row>25</xdr:row>
      <xdr:rowOff>57150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28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5720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104775</xdr:rowOff>
    </xdr:from>
    <xdr:to>
      <xdr:col>2</xdr:col>
      <xdr:colOff>9525</xdr:colOff>
      <xdr:row>28</xdr:row>
      <xdr:rowOff>114300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8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104775</xdr:rowOff>
    </xdr:from>
    <xdr:to>
      <xdr:col>2</xdr:col>
      <xdr:colOff>9525</xdr:colOff>
      <xdr:row>28</xdr:row>
      <xdr:rowOff>114300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8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104775</xdr:rowOff>
    </xdr:from>
    <xdr:to>
      <xdr:col>3</xdr:col>
      <xdr:colOff>9525</xdr:colOff>
      <xdr:row>28</xdr:row>
      <xdr:rowOff>114300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8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104775</xdr:rowOff>
    </xdr:from>
    <xdr:to>
      <xdr:col>5</xdr:col>
      <xdr:colOff>9525</xdr:colOff>
      <xdr:row>28</xdr:row>
      <xdr:rowOff>114300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8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19050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34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133350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133350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133350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133350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47625</xdr:rowOff>
    </xdr:from>
    <xdr:to>
      <xdr:col>2</xdr:col>
      <xdr:colOff>9525</xdr:colOff>
      <xdr:row>35</xdr:row>
      <xdr:rowOff>228600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7215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47625</xdr:rowOff>
    </xdr:from>
    <xdr:to>
      <xdr:col>4</xdr:col>
      <xdr:colOff>9525</xdr:colOff>
      <xdr:row>34</xdr:row>
      <xdr:rowOff>57150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47625</xdr:rowOff>
    </xdr:from>
    <xdr:to>
      <xdr:col>6</xdr:col>
      <xdr:colOff>9525</xdr:colOff>
      <xdr:row>34</xdr:row>
      <xdr:rowOff>57150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47625</xdr:rowOff>
    </xdr:from>
    <xdr:to>
      <xdr:col>8</xdr:col>
      <xdr:colOff>9525</xdr:colOff>
      <xdr:row>34</xdr:row>
      <xdr:rowOff>57150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47625</xdr:rowOff>
    </xdr:from>
    <xdr:to>
      <xdr:col>10</xdr:col>
      <xdr:colOff>9525</xdr:colOff>
      <xdr:row>34</xdr:row>
      <xdr:rowOff>57150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47625</xdr:rowOff>
    </xdr:from>
    <xdr:to>
      <xdr:col>12</xdr:col>
      <xdr:colOff>9525</xdr:colOff>
      <xdr:row>34</xdr:row>
      <xdr:rowOff>57150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47625</xdr:rowOff>
    </xdr:from>
    <xdr:to>
      <xdr:col>14</xdr:col>
      <xdr:colOff>9525</xdr:colOff>
      <xdr:row>34</xdr:row>
      <xdr:rowOff>57150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19050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34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66675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5341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workbookViewId="0" topLeftCell="A10">
      <selection activeCell="I23" sqref="I23"/>
    </sheetView>
  </sheetViews>
  <sheetFormatPr defaultColWidth="9.140625" defaultRowHeight="12.75"/>
  <cols>
    <col min="1" max="1" width="10.7109375" style="0" customWidth="1"/>
    <col min="2" max="2" width="17.00390625" style="0" customWidth="1"/>
    <col min="3" max="3" width="9.28125" style="1" customWidth="1"/>
    <col min="4" max="4" width="9.57421875" style="1" customWidth="1"/>
    <col min="5" max="5" width="7.7109375" style="1" customWidth="1"/>
    <col min="6" max="6" width="9.7109375" style="1" customWidth="1"/>
    <col min="7" max="7" width="8.28125" style="1" bestFit="1" customWidth="1"/>
    <col min="8" max="8" width="0.85546875" style="1" customWidth="1"/>
    <col min="9" max="9" width="11.140625" style="0" bestFit="1" customWidth="1"/>
    <col min="10" max="10" width="14.7109375" style="0" customWidth="1"/>
    <col min="11" max="11" width="9.57421875" style="0" customWidth="1"/>
    <col min="12" max="12" width="11.7109375" style="0" customWidth="1"/>
    <col min="13" max="13" width="12.421875" style="0" customWidth="1"/>
    <col min="14" max="14" width="9.28125" style="0" customWidth="1"/>
  </cols>
  <sheetData>
    <row r="1" spans="1:14" ht="13.5" customHeight="1">
      <c r="A1" s="2">
        <v>38443</v>
      </c>
      <c r="B1" s="3" t="s">
        <v>0</v>
      </c>
      <c r="I1" s="2">
        <f>A1</f>
        <v>38443</v>
      </c>
      <c r="J1" s="3" t="s">
        <v>1</v>
      </c>
      <c r="K1" s="4"/>
      <c r="L1" s="4"/>
      <c r="M1" s="4"/>
      <c r="N1" s="5"/>
    </row>
    <row r="2" spans="1:14" ht="25.5" customHeight="1">
      <c r="A2" s="6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/>
      <c r="I2" s="6" t="s">
        <v>2</v>
      </c>
      <c r="J2" s="6" t="s">
        <v>3</v>
      </c>
      <c r="K2" s="7" t="s">
        <v>9</v>
      </c>
      <c r="L2" s="7" t="s">
        <v>10</v>
      </c>
      <c r="M2" s="7" t="s">
        <v>11</v>
      </c>
      <c r="N2" s="7" t="s">
        <v>8</v>
      </c>
    </row>
    <row r="3" spans="1:14" ht="13.5" customHeight="1">
      <c r="A3" s="8"/>
      <c r="B3" t="s">
        <v>12</v>
      </c>
      <c r="C3" s="1">
        <v>3547.9</v>
      </c>
      <c r="D3" s="9"/>
      <c r="E3" s="9"/>
      <c r="F3" s="9"/>
      <c r="G3" s="9">
        <f aca="true" t="shared" si="0" ref="G3:G18">SUM(C3:F3)</f>
        <v>3547.9</v>
      </c>
      <c r="I3" s="10"/>
      <c r="K3" s="9"/>
      <c r="L3" s="7"/>
      <c r="M3" s="9"/>
      <c r="N3" s="7"/>
    </row>
    <row r="4" spans="1:14" ht="13.5" customHeight="1" thickBot="1">
      <c r="A4" s="11">
        <v>38443</v>
      </c>
      <c r="B4" t="s">
        <v>13</v>
      </c>
      <c r="C4" s="9"/>
      <c r="D4" s="9">
        <v>30</v>
      </c>
      <c r="E4" s="9"/>
      <c r="F4" s="9"/>
      <c r="G4" s="9">
        <f t="shared" si="0"/>
        <v>30</v>
      </c>
      <c r="I4" s="12"/>
      <c r="J4" s="13"/>
      <c r="K4" s="14"/>
      <c r="L4" s="14"/>
      <c r="M4" s="15"/>
      <c r="N4" s="14"/>
    </row>
    <row r="5" spans="1:14" ht="13.5" customHeight="1" thickTop="1">
      <c r="A5" s="16"/>
      <c r="B5" t="s">
        <v>14</v>
      </c>
      <c r="C5" s="9"/>
      <c r="D5" s="9">
        <v>30</v>
      </c>
      <c r="E5" s="9"/>
      <c r="F5" s="9"/>
      <c r="G5" s="9">
        <f t="shared" si="0"/>
        <v>30</v>
      </c>
      <c r="I5" s="17"/>
      <c r="K5" s="9">
        <f>SUM(K3:K4)</f>
        <v>0</v>
      </c>
      <c r="L5" s="9">
        <f>SUM(L3:L4)</f>
        <v>0</v>
      </c>
      <c r="M5" s="9">
        <f>SUM(M3:M4)</f>
        <v>0</v>
      </c>
      <c r="N5" s="9">
        <f>SUM(N3:N4)</f>
        <v>0</v>
      </c>
    </row>
    <row r="6" spans="1:14" ht="13.5" customHeight="1" thickBot="1">
      <c r="A6" s="16"/>
      <c r="B6" s="18" t="s">
        <v>15</v>
      </c>
      <c r="C6" s="9"/>
      <c r="D6" s="9"/>
      <c r="E6" s="9">
        <v>3.63</v>
      </c>
      <c r="F6" s="9"/>
      <c r="G6" s="9">
        <f t="shared" si="0"/>
        <v>3.63</v>
      </c>
      <c r="J6" t="s">
        <v>16</v>
      </c>
      <c r="K6" s="9">
        <f>G19</f>
        <v>7485.6900000000005</v>
      </c>
      <c r="L6" s="9"/>
      <c r="M6" s="9"/>
      <c r="N6" s="15">
        <f>SUM(K6:M6)</f>
        <v>7485.6900000000005</v>
      </c>
    </row>
    <row r="7" spans="1:14" ht="13.5" customHeight="1" thickTop="1">
      <c r="A7" s="11">
        <v>38447</v>
      </c>
      <c r="B7" s="4" t="s">
        <v>17</v>
      </c>
      <c r="C7" s="9"/>
      <c r="D7" s="9">
        <v>30</v>
      </c>
      <c r="E7" s="9"/>
      <c r="F7" s="9"/>
      <c r="G7" s="9">
        <f t="shared" si="0"/>
        <v>30</v>
      </c>
      <c r="I7" s="19"/>
      <c r="K7" s="9"/>
      <c r="L7" s="9"/>
      <c r="M7" s="9"/>
      <c r="N7" s="9">
        <f>N6-N5</f>
        <v>7485.6900000000005</v>
      </c>
    </row>
    <row r="8" spans="1:9" ht="13.5" customHeight="1">
      <c r="A8" s="11"/>
      <c r="B8" s="4" t="s">
        <v>18</v>
      </c>
      <c r="C8" s="9"/>
      <c r="D8" s="9">
        <v>30</v>
      </c>
      <c r="E8" s="9"/>
      <c r="F8" s="9"/>
      <c r="G8" s="9">
        <f t="shared" si="0"/>
        <v>30</v>
      </c>
      <c r="I8" s="19"/>
    </row>
    <row r="9" spans="1:9" ht="13.5" customHeight="1">
      <c r="A9" s="11"/>
      <c r="B9" s="4" t="s">
        <v>19</v>
      </c>
      <c r="C9" s="9"/>
      <c r="D9" s="9">
        <v>30</v>
      </c>
      <c r="E9" s="9"/>
      <c r="F9" s="9"/>
      <c r="G9" s="9">
        <f t="shared" si="0"/>
        <v>30</v>
      </c>
      <c r="I9" s="19"/>
    </row>
    <row r="10" spans="1:14" ht="13.5" customHeight="1">
      <c r="A10" s="11"/>
      <c r="B10" s="20" t="s">
        <v>20</v>
      </c>
      <c r="C10" s="9"/>
      <c r="D10" s="9">
        <v>30</v>
      </c>
      <c r="E10" s="9"/>
      <c r="F10" s="9"/>
      <c r="G10" s="9">
        <f t="shared" si="0"/>
        <v>30</v>
      </c>
      <c r="J10" s="21" t="s">
        <v>21</v>
      </c>
      <c r="K10" s="22"/>
      <c r="L10" s="22"/>
      <c r="M10" s="22"/>
      <c r="N10" s="23">
        <f>'Lloyd TSB'!F12</f>
        <v>274.37</v>
      </c>
    </row>
    <row r="11" spans="1:14" ht="13.5" customHeight="1">
      <c r="A11" s="16"/>
      <c r="B11" t="s">
        <v>22</v>
      </c>
      <c r="D11" s="9">
        <v>30</v>
      </c>
      <c r="E11" s="9"/>
      <c r="F11" s="9"/>
      <c r="G11" s="9">
        <f t="shared" si="0"/>
        <v>30</v>
      </c>
      <c r="J11" s="24" t="s">
        <v>23</v>
      </c>
      <c r="K11" s="4"/>
      <c r="L11" s="4"/>
      <c r="M11" s="4"/>
      <c r="N11" s="25">
        <v>-0.5</v>
      </c>
    </row>
    <row r="12" spans="1:14" ht="13.5" customHeight="1" thickBot="1">
      <c r="A12" s="11">
        <v>38448</v>
      </c>
      <c r="B12" s="4" t="s">
        <v>24</v>
      </c>
      <c r="C12" s="9"/>
      <c r="D12" s="9">
        <v>30</v>
      </c>
      <c r="E12" s="9"/>
      <c r="F12" s="9"/>
      <c r="G12" s="9">
        <f t="shared" si="0"/>
        <v>30</v>
      </c>
      <c r="J12" s="24" t="s">
        <v>25</v>
      </c>
      <c r="K12" s="4"/>
      <c r="L12" s="4"/>
      <c r="M12" s="4"/>
      <c r="N12" s="26">
        <f>Comdirect!H10</f>
        <v>7211.82</v>
      </c>
    </row>
    <row r="13" spans="1:14" ht="13.5" customHeight="1" thickTop="1">
      <c r="A13" s="27">
        <v>38457</v>
      </c>
      <c r="B13" t="s">
        <v>26</v>
      </c>
      <c r="C13" s="28"/>
      <c r="E13" s="8"/>
      <c r="F13" s="9">
        <v>20.7</v>
      </c>
      <c r="G13" s="9">
        <f t="shared" si="0"/>
        <v>20.7</v>
      </c>
      <c r="J13" s="29"/>
      <c r="K13" s="30"/>
      <c r="L13" s="30"/>
      <c r="M13" s="30"/>
      <c r="N13" s="31">
        <f>SUM(N10:N12)</f>
        <v>7485.69</v>
      </c>
    </row>
    <row r="14" spans="1:7" ht="13.5" customHeight="1">
      <c r="A14" s="27"/>
      <c r="B14" t="s">
        <v>27</v>
      </c>
      <c r="C14" s="28"/>
      <c r="E14" s="8"/>
      <c r="F14" s="9">
        <v>27.56</v>
      </c>
      <c r="G14" s="9">
        <f t="shared" si="0"/>
        <v>27.56</v>
      </c>
    </row>
    <row r="15" spans="1:7" ht="13.5" customHeight="1">
      <c r="A15" s="27">
        <v>38468</v>
      </c>
      <c r="B15" t="s">
        <v>28</v>
      </c>
      <c r="C15" s="9">
        <v>807.72</v>
      </c>
      <c r="E15" s="8"/>
      <c r="G15" s="9">
        <f t="shared" si="0"/>
        <v>807.72</v>
      </c>
    </row>
    <row r="16" spans="1:7" ht="13.5" customHeight="1">
      <c r="A16" s="27"/>
      <c r="B16" t="s">
        <v>29</v>
      </c>
      <c r="C16" s="9">
        <v>951.9</v>
      </c>
      <c r="E16" s="8"/>
      <c r="G16" s="9">
        <f t="shared" si="0"/>
        <v>951.9</v>
      </c>
    </row>
    <row r="17" spans="1:7" ht="13.5" customHeight="1">
      <c r="A17" s="27">
        <v>38471</v>
      </c>
      <c r="B17" t="s">
        <v>30</v>
      </c>
      <c r="C17" s="9">
        <v>897.55</v>
      </c>
      <c r="E17" s="8"/>
      <c r="G17" s="9">
        <f t="shared" si="0"/>
        <v>897.55</v>
      </c>
    </row>
    <row r="18" spans="1:7" ht="13.5" customHeight="1" thickBot="1">
      <c r="A18" s="32"/>
      <c r="B18" s="13" t="s">
        <v>31</v>
      </c>
      <c r="C18" s="15">
        <v>988.73</v>
      </c>
      <c r="D18" s="33"/>
      <c r="E18" s="34"/>
      <c r="F18" s="33"/>
      <c r="G18" s="15">
        <f t="shared" si="0"/>
        <v>988.73</v>
      </c>
    </row>
    <row r="19" spans="1:7" ht="13.5" customHeight="1" thickTop="1">
      <c r="A19" s="27"/>
      <c r="C19" s="9">
        <f>SUM(C3:C18)</f>
        <v>7193.799999999999</v>
      </c>
      <c r="D19" s="9">
        <f>SUM(D3:D18)</f>
        <v>240</v>
      </c>
      <c r="E19" s="9">
        <f>SUM(E3:E18)</f>
        <v>3.63</v>
      </c>
      <c r="F19" s="9">
        <f>SUM(F3:F18)</f>
        <v>48.26</v>
      </c>
      <c r="G19" s="9">
        <f>SUM(G3:G18)</f>
        <v>7485.6900000000005</v>
      </c>
    </row>
    <row r="20" ht="12.75"/>
    <row r="21" spans="1:14" ht="13.5" customHeight="1">
      <c r="A21" s="2">
        <f>A1+31</f>
        <v>38474</v>
      </c>
      <c r="B21" s="3" t="s">
        <v>0</v>
      </c>
      <c r="I21" s="2">
        <f>A21</f>
        <v>38474</v>
      </c>
      <c r="J21" s="3" t="s">
        <v>1</v>
      </c>
      <c r="K21" s="4"/>
      <c r="L21" s="4"/>
      <c r="M21" s="4"/>
      <c r="N21" s="5"/>
    </row>
    <row r="22" spans="1:14" ht="25.5" customHeight="1">
      <c r="A22" s="6" t="s">
        <v>2</v>
      </c>
      <c r="B22" s="6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/>
      <c r="I22" s="6" t="s">
        <v>2</v>
      </c>
      <c r="J22" s="6" t="s">
        <v>3</v>
      </c>
      <c r="K22" s="7" t="s">
        <v>9</v>
      </c>
      <c r="L22" s="7" t="s">
        <v>10</v>
      </c>
      <c r="M22" s="7" t="s">
        <v>11</v>
      </c>
      <c r="N22" s="7" t="s">
        <v>8</v>
      </c>
    </row>
    <row r="23" spans="1:14" ht="13.5" customHeight="1">
      <c r="A23" s="8"/>
      <c r="B23" t="s">
        <v>12</v>
      </c>
      <c r="C23" s="1">
        <f>N7</f>
        <v>7485.6900000000005</v>
      </c>
      <c r="D23" s="9"/>
      <c r="E23" s="9"/>
      <c r="F23" s="9"/>
      <c r="G23" s="9">
        <f aca="true" t="shared" si="1" ref="G23:G35">SUM(C23:F23)</f>
        <v>7485.6900000000005</v>
      </c>
      <c r="I23" s="27">
        <v>38482</v>
      </c>
      <c r="J23" t="s">
        <v>186</v>
      </c>
      <c r="K23" s="7"/>
      <c r="L23" s="7"/>
      <c r="M23" s="9">
        <v>1995.22</v>
      </c>
      <c r="N23" s="7">
        <f>SUM(K23:M23)</f>
        <v>1995.22</v>
      </c>
    </row>
    <row r="24" spans="1:14" ht="13.5" customHeight="1">
      <c r="A24" s="11">
        <v>38475</v>
      </c>
      <c r="B24" t="s">
        <v>13</v>
      </c>
      <c r="C24" s="9"/>
      <c r="D24" s="9">
        <v>30</v>
      </c>
      <c r="E24" s="9"/>
      <c r="F24" s="9"/>
      <c r="G24" s="9">
        <f t="shared" si="1"/>
        <v>30</v>
      </c>
      <c r="I24" s="10">
        <v>38486</v>
      </c>
      <c r="J24" t="s">
        <v>17</v>
      </c>
      <c r="K24" s="9"/>
      <c r="L24" s="7">
        <v>1904.42</v>
      </c>
      <c r="M24" s="9"/>
      <c r="N24" s="7">
        <f>SUM(K24:M24)</f>
        <v>1904.42</v>
      </c>
    </row>
    <row r="25" spans="1:14" ht="13.5" customHeight="1">
      <c r="A25" s="16"/>
      <c r="B25" t="s">
        <v>14</v>
      </c>
      <c r="C25" s="9"/>
      <c r="D25" s="9">
        <v>30</v>
      </c>
      <c r="E25" s="9"/>
      <c r="F25" s="9"/>
      <c r="G25" s="9">
        <f t="shared" si="1"/>
        <v>30</v>
      </c>
      <c r="I25" s="10">
        <v>38486</v>
      </c>
      <c r="J25" t="s">
        <v>175</v>
      </c>
      <c r="K25" s="9">
        <v>0.25</v>
      </c>
      <c r="L25" s="7"/>
      <c r="M25" s="9"/>
      <c r="N25" s="7">
        <f>SUM(K25:M25)</f>
        <v>0.25</v>
      </c>
    </row>
    <row r="26" spans="1:14" ht="13.5" customHeight="1" thickBot="1">
      <c r="A26" s="16"/>
      <c r="B26" t="s">
        <v>32</v>
      </c>
      <c r="C26" s="9"/>
      <c r="D26" s="9"/>
      <c r="E26" s="9">
        <v>2.51</v>
      </c>
      <c r="F26" s="9"/>
      <c r="G26" s="9">
        <f t="shared" si="1"/>
        <v>2.51</v>
      </c>
      <c r="I26" s="10">
        <v>38489</v>
      </c>
      <c r="J26" s="13" t="s">
        <v>189</v>
      </c>
      <c r="K26" s="13">
        <v>1.08</v>
      </c>
      <c r="L26" s="14"/>
      <c r="M26" s="15"/>
      <c r="N26" s="14">
        <f>SUM(K26:M26)</f>
        <v>1.08</v>
      </c>
    </row>
    <row r="27" spans="1:14" ht="13.5" customHeight="1" thickTop="1">
      <c r="A27" s="11">
        <v>38477</v>
      </c>
      <c r="B27" s="4" t="s">
        <v>18</v>
      </c>
      <c r="C27" s="9"/>
      <c r="D27" s="9">
        <v>30</v>
      </c>
      <c r="E27" s="9"/>
      <c r="F27" s="9"/>
      <c r="G27" s="9">
        <f t="shared" si="1"/>
        <v>30</v>
      </c>
      <c r="I27" s="17"/>
      <c r="K27" s="9">
        <f>SUM(K23:K26)</f>
        <v>1.33</v>
      </c>
      <c r="L27" s="9">
        <f>SUM(L23:L26)</f>
        <v>1904.42</v>
      </c>
      <c r="M27" s="9">
        <f>SUM(M23:M26)</f>
        <v>1995.22</v>
      </c>
      <c r="N27" s="9">
        <f>SUM(N23:N26)</f>
        <v>3900.9700000000003</v>
      </c>
    </row>
    <row r="28" spans="1:14" ht="13.5" customHeight="1" thickBot="1">
      <c r="A28" s="11"/>
      <c r="B28" s="4" t="s">
        <v>19</v>
      </c>
      <c r="C28" s="9"/>
      <c r="D28" s="9">
        <v>30</v>
      </c>
      <c r="E28" s="9"/>
      <c r="F28" s="9"/>
      <c r="G28" s="9">
        <f t="shared" si="1"/>
        <v>30</v>
      </c>
      <c r="J28" t="s">
        <v>16</v>
      </c>
      <c r="K28" s="9">
        <f>G38</f>
        <v>7975.12</v>
      </c>
      <c r="L28" s="9"/>
      <c r="M28" s="9"/>
      <c r="N28" s="15">
        <f>SUM(K28:M28)</f>
        <v>7975.12</v>
      </c>
    </row>
    <row r="29" spans="1:14" ht="13.5" customHeight="1" thickTop="1">
      <c r="A29" s="11"/>
      <c r="B29" s="20" t="s">
        <v>17</v>
      </c>
      <c r="C29" s="9"/>
      <c r="D29" s="9">
        <v>30</v>
      </c>
      <c r="E29" s="9"/>
      <c r="F29" s="9"/>
      <c r="G29" s="9">
        <f>SUM(C29:F29)</f>
        <v>30</v>
      </c>
      <c r="I29" s="19"/>
      <c r="K29" s="9"/>
      <c r="L29" s="9"/>
      <c r="M29" s="9"/>
      <c r="N29" s="9">
        <f>N28-N27</f>
        <v>4074.1499999999996</v>
      </c>
    </row>
    <row r="30" spans="1:9" ht="13.5" customHeight="1">
      <c r="A30" s="11"/>
      <c r="B30" s="20" t="s">
        <v>20</v>
      </c>
      <c r="C30" s="9"/>
      <c r="D30" s="9">
        <v>30</v>
      </c>
      <c r="E30" s="9"/>
      <c r="F30" s="9"/>
      <c r="G30" s="9">
        <f t="shared" si="1"/>
        <v>30</v>
      </c>
      <c r="I30" s="19"/>
    </row>
    <row r="31" spans="1:9" ht="13.5" customHeight="1">
      <c r="A31" s="11"/>
      <c r="B31" t="s">
        <v>22</v>
      </c>
      <c r="D31" s="9">
        <v>30</v>
      </c>
      <c r="E31" s="9"/>
      <c r="F31" s="9"/>
      <c r="G31" s="9">
        <f t="shared" si="1"/>
        <v>30</v>
      </c>
      <c r="I31" s="19"/>
    </row>
    <row r="32" spans="1:14" ht="13.5" customHeight="1">
      <c r="A32" s="11"/>
      <c r="B32" s="4" t="s">
        <v>24</v>
      </c>
      <c r="C32" s="9"/>
      <c r="D32" s="9">
        <v>30</v>
      </c>
      <c r="E32" s="9"/>
      <c r="F32" s="9"/>
      <c r="G32" s="9">
        <f t="shared" si="1"/>
        <v>30</v>
      </c>
      <c r="J32" s="21" t="s">
        <v>21</v>
      </c>
      <c r="K32" s="22"/>
      <c r="L32" s="22"/>
      <c r="M32" s="22"/>
      <c r="N32" s="23">
        <f>'Lloyd TSB'!F27</f>
        <v>8.87</v>
      </c>
    </row>
    <row r="33" spans="1:14" ht="13.5" customHeight="1">
      <c r="A33" s="27"/>
      <c r="B33" t="s">
        <v>33</v>
      </c>
      <c r="C33" s="28"/>
      <c r="E33" s="8"/>
      <c r="F33" s="9">
        <v>13.83</v>
      </c>
      <c r="G33" s="9">
        <f t="shared" si="1"/>
        <v>13.83</v>
      </c>
      <c r="J33" s="24" t="s">
        <v>23</v>
      </c>
      <c r="K33" s="4"/>
      <c r="L33" s="4"/>
      <c r="M33" s="4"/>
      <c r="N33" s="25">
        <v>-0.5</v>
      </c>
    </row>
    <row r="34" spans="1:14" ht="13.5" customHeight="1">
      <c r="A34" s="27">
        <v>38478</v>
      </c>
      <c r="B34" t="s">
        <v>31</v>
      </c>
      <c r="C34" s="28"/>
      <c r="E34" s="8"/>
      <c r="F34" s="9">
        <v>37.73</v>
      </c>
      <c r="G34" s="9">
        <f t="shared" si="1"/>
        <v>37.73</v>
      </c>
      <c r="J34" s="24" t="s">
        <v>190</v>
      </c>
      <c r="K34" s="4"/>
      <c r="L34" s="4"/>
      <c r="M34" s="4"/>
      <c r="N34" s="25">
        <v>-0.25</v>
      </c>
    </row>
    <row r="35" spans="1:14" ht="13.5" customHeight="1" thickBot="1">
      <c r="A35" s="27">
        <v>38483</v>
      </c>
      <c r="B35" t="s">
        <v>185</v>
      </c>
      <c r="C35" s="28"/>
      <c r="E35" s="8"/>
      <c r="F35" s="9">
        <v>31.68</v>
      </c>
      <c r="G35" s="9">
        <f t="shared" si="1"/>
        <v>31.68</v>
      </c>
      <c r="J35" s="24" t="s">
        <v>25</v>
      </c>
      <c r="K35" s="4"/>
      <c r="L35" s="4"/>
      <c r="M35" s="4"/>
      <c r="N35" s="26">
        <f>Comdirect!H24</f>
        <v>4066.0299999999993</v>
      </c>
    </row>
    <row r="36" spans="1:14" ht="13.5" customHeight="1" thickTop="1">
      <c r="A36" s="27">
        <v>38489</v>
      </c>
      <c r="B36" t="s">
        <v>27</v>
      </c>
      <c r="C36" s="9"/>
      <c r="E36" s="8"/>
      <c r="F36" s="9">
        <v>16.53</v>
      </c>
      <c r="G36" s="9">
        <f>SUM(C36:F36)</f>
        <v>16.53</v>
      </c>
      <c r="J36" s="29"/>
      <c r="K36" s="30"/>
      <c r="L36" s="30"/>
      <c r="M36" s="30"/>
      <c r="N36" s="31">
        <f>SUM(N32:N35)</f>
        <v>4074.149999999999</v>
      </c>
    </row>
    <row r="37" spans="1:7" ht="13.5" customHeight="1" thickBot="1">
      <c r="A37" s="32">
        <v>38498</v>
      </c>
      <c r="B37" s="13" t="s">
        <v>184</v>
      </c>
      <c r="C37" s="15"/>
      <c r="D37" s="33"/>
      <c r="E37" s="34"/>
      <c r="F37" s="15">
        <v>147.15</v>
      </c>
      <c r="G37" s="15">
        <f>SUM(C37:F37)</f>
        <v>147.15</v>
      </c>
    </row>
    <row r="38" spans="1:14" ht="13.5" customHeight="1" thickTop="1">
      <c r="A38" s="27"/>
      <c r="C38" s="9">
        <f>SUM(C23:C37)</f>
        <v>7485.6900000000005</v>
      </c>
      <c r="D38" s="9">
        <f>SUM(D23:D37)</f>
        <v>240</v>
      </c>
      <c r="E38" s="9">
        <f>SUM(E23:E37)</f>
        <v>2.51</v>
      </c>
      <c r="F38" s="9">
        <f>SUM(F23:F37)</f>
        <v>246.92000000000002</v>
      </c>
      <c r="G38" s="9">
        <f>SUM(G23:G37)</f>
        <v>7975.12</v>
      </c>
      <c r="N38" s="1"/>
    </row>
    <row r="39" ht="12.75"/>
    <row r="40" spans="1:14" ht="13.5" customHeight="1">
      <c r="A40" s="2">
        <f>A21+31</f>
        <v>38505</v>
      </c>
      <c r="B40" s="3" t="s">
        <v>0</v>
      </c>
      <c r="I40" s="2">
        <f>A40</f>
        <v>38505</v>
      </c>
      <c r="J40" s="3" t="s">
        <v>1</v>
      </c>
      <c r="K40" s="4"/>
      <c r="L40" s="4"/>
      <c r="M40" s="4"/>
      <c r="N40" s="5"/>
    </row>
    <row r="41" spans="1:14" ht="25.5" customHeight="1">
      <c r="A41" s="6" t="s">
        <v>2</v>
      </c>
      <c r="B41" s="6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/>
      <c r="I41" s="6" t="s">
        <v>2</v>
      </c>
      <c r="J41" s="6" t="s">
        <v>3</v>
      </c>
      <c r="K41" s="7" t="s">
        <v>9</v>
      </c>
      <c r="L41" s="7" t="s">
        <v>10</v>
      </c>
      <c r="M41" s="7" t="s">
        <v>11</v>
      </c>
      <c r="N41" s="7" t="s">
        <v>8</v>
      </c>
    </row>
    <row r="42" spans="1:14" ht="13.5" customHeight="1" thickBot="1">
      <c r="A42" s="8"/>
      <c r="B42" t="s">
        <v>12</v>
      </c>
      <c r="C42" s="1">
        <f>N29</f>
        <v>4074.1499999999996</v>
      </c>
      <c r="D42" s="9"/>
      <c r="E42" s="9"/>
      <c r="F42" s="9"/>
      <c r="G42" s="9">
        <f aca="true" t="shared" si="2" ref="G42:G47">SUM(C42:F42)</f>
        <v>4074.1499999999996</v>
      </c>
      <c r="I42" s="10">
        <v>38518</v>
      </c>
      <c r="J42" s="13" t="s">
        <v>20</v>
      </c>
      <c r="K42" s="14"/>
      <c r="L42" s="14">
        <v>2164.2</v>
      </c>
      <c r="M42" s="15"/>
      <c r="N42" s="14">
        <f>SUM(K42:M42)</f>
        <v>2164.2</v>
      </c>
    </row>
    <row r="43" spans="1:14" ht="13.5" customHeight="1" thickTop="1">
      <c r="A43" s="11">
        <v>38504</v>
      </c>
      <c r="B43" t="s">
        <v>13</v>
      </c>
      <c r="C43" s="9"/>
      <c r="D43" s="9">
        <v>30</v>
      </c>
      <c r="E43" s="9"/>
      <c r="F43" s="9"/>
      <c r="G43" s="9">
        <f t="shared" si="2"/>
        <v>30</v>
      </c>
      <c r="I43" s="17"/>
      <c r="K43" s="9">
        <f>SUM(K42:K42)</f>
        <v>0</v>
      </c>
      <c r="L43" s="9">
        <f>SUM(L42:L42)</f>
        <v>2164.2</v>
      </c>
      <c r="M43" s="9">
        <f>SUM(M42:M42)</f>
        <v>0</v>
      </c>
      <c r="N43" s="9">
        <f>SUM(N42:N42)</f>
        <v>2164.2</v>
      </c>
    </row>
    <row r="44" spans="1:14" ht="13.5" customHeight="1" thickBot="1">
      <c r="A44" s="16"/>
      <c r="B44" t="s">
        <v>14</v>
      </c>
      <c r="C44" s="9"/>
      <c r="D44" s="9">
        <v>30</v>
      </c>
      <c r="E44" s="9"/>
      <c r="F44" s="9"/>
      <c r="G44" s="9">
        <f t="shared" si="2"/>
        <v>30</v>
      </c>
      <c r="J44" t="s">
        <v>16</v>
      </c>
      <c r="K44" s="9">
        <f>G52</f>
        <v>4439.799999999999</v>
      </c>
      <c r="L44" s="9"/>
      <c r="M44" s="9"/>
      <c r="N44" s="15">
        <f>SUM(K44:M44)</f>
        <v>4439.799999999999</v>
      </c>
    </row>
    <row r="45" spans="1:14" ht="13.5" customHeight="1" thickTop="1">
      <c r="A45" s="16"/>
      <c r="B45" t="s">
        <v>32</v>
      </c>
      <c r="C45" s="9"/>
      <c r="D45" s="9"/>
      <c r="E45" s="9">
        <v>3.65</v>
      </c>
      <c r="F45" s="9"/>
      <c r="G45" s="9">
        <f t="shared" si="2"/>
        <v>3.65</v>
      </c>
      <c r="I45" s="19"/>
      <c r="K45" s="9"/>
      <c r="L45" s="9"/>
      <c r="M45" s="9"/>
      <c r="N45" s="9">
        <f>N44-N43</f>
        <v>2275.5999999999995</v>
      </c>
    </row>
    <row r="46" spans="1:9" ht="13.5" customHeight="1">
      <c r="A46" s="11">
        <v>38506</v>
      </c>
      <c r="B46" s="4" t="s">
        <v>18</v>
      </c>
      <c r="C46" s="9"/>
      <c r="D46" s="9">
        <v>30</v>
      </c>
      <c r="E46" s="9"/>
      <c r="F46" s="9"/>
      <c r="G46" s="9">
        <f t="shared" si="2"/>
        <v>30</v>
      </c>
      <c r="I46" s="19"/>
    </row>
    <row r="47" spans="1:9" ht="13.5" customHeight="1">
      <c r="A47" s="11"/>
      <c r="B47" s="4" t="s">
        <v>19</v>
      </c>
      <c r="C47" s="9"/>
      <c r="D47" s="9">
        <v>30</v>
      </c>
      <c r="E47" s="9"/>
      <c r="F47" s="9"/>
      <c r="G47" s="9">
        <f t="shared" si="2"/>
        <v>30</v>
      </c>
      <c r="I47" s="19"/>
    </row>
    <row r="48" spans="1:14" ht="13.5" customHeight="1">
      <c r="A48" s="11"/>
      <c r="B48" t="s">
        <v>22</v>
      </c>
      <c r="D48" s="9">
        <v>30</v>
      </c>
      <c r="E48" s="9"/>
      <c r="F48" s="9"/>
      <c r="G48" s="9">
        <f>SUM(C48:F48)</f>
        <v>30</v>
      </c>
      <c r="J48" s="21" t="s">
        <v>21</v>
      </c>
      <c r="K48" s="22"/>
      <c r="L48" s="22"/>
      <c r="M48" s="22"/>
      <c r="N48" s="23">
        <f>'Lloyd TSB'!F50</f>
        <v>124.67</v>
      </c>
    </row>
    <row r="49" spans="1:14" ht="13.5" customHeight="1">
      <c r="A49" s="11">
        <v>38510</v>
      </c>
      <c r="B49" s="4" t="s">
        <v>24</v>
      </c>
      <c r="C49" s="9"/>
      <c r="D49" s="9">
        <v>30</v>
      </c>
      <c r="E49" s="9"/>
      <c r="F49" s="9"/>
      <c r="G49" s="9">
        <f>SUM(C49:F49)</f>
        <v>30</v>
      </c>
      <c r="J49" s="24" t="s">
        <v>23</v>
      </c>
      <c r="K49" s="4"/>
      <c r="L49" s="4"/>
      <c r="M49" s="4"/>
      <c r="N49" s="25">
        <v>-0.5</v>
      </c>
    </row>
    <row r="50" spans="1:14" ht="13.5" customHeight="1">
      <c r="A50" s="10">
        <v>38523</v>
      </c>
      <c r="B50" s="167" t="s">
        <v>177</v>
      </c>
      <c r="C50" s="9">
        <v>164.1</v>
      </c>
      <c r="E50" s="8"/>
      <c r="F50" s="9"/>
      <c r="G50" s="9">
        <f>SUM(C50:F50)</f>
        <v>164.1</v>
      </c>
      <c r="J50" s="24" t="s">
        <v>190</v>
      </c>
      <c r="K50" s="4"/>
      <c r="L50" s="4"/>
      <c r="M50" s="4"/>
      <c r="N50" s="25">
        <v>-0.25</v>
      </c>
    </row>
    <row r="51" spans="1:14" ht="13.5" customHeight="1" thickBot="1">
      <c r="A51" s="32">
        <v>38531</v>
      </c>
      <c r="B51" s="168" t="s">
        <v>210</v>
      </c>
      <c r="C51" s="147"/>
      <c r="D51" s="33"/>
      <c r="E51" s="34"/>
      <c r="F51" s="15">
        <v>17.9</v>
      </c>
      <c r="G51" s="15">
        <f>SUM(C51:F51)</f>
        <v>17.9</v>
      </c>
      <c r="J51" s="24" t="s">
        <v>25</v>
      </c>
      <c r="K51" s="4"/>
      <c r="L51" s="4"/>
      <c r="M51" s="4"/>
      <c r="N51" s="26">
        <f>Comdirect!H32</f>
        <v>2151.6799999999994</v>
      </c>
    </row>
    <row r="52" spans="1:14" ht="13.5" customHeight="1" thickTop="1">
      <c r="A52" s="27"/>
      <c r="C52" s="9">
        <f>SUM(C42:C51)</f>
        <v>4238.25</v>
      </c>
      <c r="D52" s="9">
        <f>SUM(D42:D51)</f>
        <v>180</v>
      </c>
      <c r="E52" s="9">
        <f>SUM(E42:E51)</f>
        <v>3.65</v>
      </c>
      <c r="F52" s="9">
        <f>SUM(F42:F51)</f>
        <v>17.9</v>
      </c>
      <c r="G52" s="9">
        <f>SUM(G42:G51)</f>
        <v>4439.799999999999</v>
      </c>
      <c r="J52" s="29"/>
      <c r="K52" s="30"/>
      <c r="L52" s="30"/>
      <c r="M52" s="30"/>
      <c r="N52" s="31">
        <f>SUM(N48:N51)</f>
        <v>2275.5999999999995</v>
      </c>
    </row>
    <row r="53" ht="13.5" customHeight="1"/>
    <row r="54" ht="13.5" customHeight="1">
      <c r="N54" s="1"/>
    </row>
    <row r="55" ht="13.5" customHeight="1"/>
    <row r="56" ht="13.5" customHeight="1"/>
    <row r="57" ht="13.5" customHeight="1"/>
  </sheetData>
  <printOptions/>
  <pageMargins left="0.5905511811023623" right="0.5905511811023623" top="0.74" bottom="0.3" header="0.5118110236220472" footer="0.22"/>
  <pageSetup horizontalDpi="300" verticalDpi="300" orientation="landscape" paperSize="9"/>
  <headerFooter alignWithMargins="0">
    <oddHeader>&amp;CRoborough Investment Club Accounts 1999/2000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workbookViewId="0" topLeftCell="A1">
      <pane ySplit="1" topLeftCell="BM17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17.421875" style="35" customWidth="1"/>
    <col min="2" max="2" width="6.00390625" style="36" customWidth="1"/>
    <col min="3" max="3" width="7.28125" style="35" customWidth="1"/>
    <col min="4" max="4" width="8.8515625" style="37" bestFit="1" customWidth="1"/>
    <col min="5" max="5" width="7.28125" style="38" customWidth="1"/>
    <col min="6" max="6" width="6.140625" style="39" customWidth="1"/>
    <col min="7" max="7" width="6.7109375" style="40" customWidth="1"/>
    <col min="8" max="8" width="6.7109375" style="36" customWidth="1"/>
    <col min="9" max="9" width="7.00390625" style="35" customWidth="1"/>
    <col min="10" max="10" width="7.28125" style="36" customWidth="1"/>
    <col min="11" max="11" width="7.28125" style="41" customWidth="1"/>
    <col min="14" max="14" width="9.28125" style="42" bestFit="1" customWidth="1"/>
    <col min="15" max="15" width="9.28125" style="8" bestFit="1" customWidth="1"/>
    <col min="16" max="16" width="8.8515625" style="8" bestFit="1" customWidth="1"/>
    <col min="17" max="17" width="10.7109375" style="0" bestFit="1" customWidth="1"/>
  </cols>
  <sheetData>
    <row r="1" spans="1:17" ht="15" customHeight="1">
      <c r="A1" s="43" t="s">
        <v>34</v>
      </c>
      <c r="B1" s="44" t="s">
        <v>35</v>
      </c>
      <c r="C1" s="45"/>
      <c r="D1" s="46" t="s">
        <v>36</v>
      </c>
      <c r="E1" s="47" t="s">
        <v>37</v>
      </c>
      <c r="F1" s="48" t="s">
        <v>38</v>
      </c>
      <c r="G1" s="49"/>
      <c r="H1" s="50" t="s">
        <v>39</v>
      </c>
      <c r="I1" s="51"/>
      <c r="J1" s="50" t="s">
        <v>35</v>
      </c>
      <c r="K1" s="52"/>
      <c r="L1" t="s">
        <v>40</v>
      </c>
      <c r="N1" s="53" t="s">
        <v>41</v>
      </c>
      <c r="O1" s="8" t="s">
        <v>42</v>
      </c>
      <c r="P1" s="8" t="s">
        <v>43</v>
      </c>
      <c r="Q1" s="8" t="s">
        <v>44</v>
      </c>
    </row>
    <row r="2" ht="12.75">
      <c r="A2" s="54">
        <v>38443</v>
      </c>
    </row>
    <row r="3" spans="1:17" ht="12.75">
      <c r="A3" s="55" t="s">
        <v>13</v>
      </c>
      <c r="B3" s="56">
        <v>1861</v>
      </c>
      <c r="C3" s="57">
        <v>1</v>
      </c>
      <c r="E3" s="38">
        <v>30</v>
      </c>
      <c r="F3" s="39">
        <v>113</v>
      </c>
      <c r="H3" s="58">
        <f aca="true" t="shared" si="0" ref="H3:H10">INT(100*(C3+E3)/F$3)</f>
        <v>27</v>
      </c>
      <c r="J3" s="58">
        <f aca="true" t="shared" si="1" ref="J3:J10">B3+H3</f>
        <v>1888</v>
      </c>
      <c r="K3" s="59">
        <f aca="true" t="shared" si="2" ref="K3:K10">(E3+C3)-ROUND(H3*F$3/100,2)</f>
        <v>0.48999999999999844</v>
      </c>
      <c r="L3" s="60">
        <f aca="true" t="shared" si="3" ref="L3:L10">J3</f>
        <v>1888</v>
      </c>
      <c r="M3" s="61">
        <f aca="true" t="shared" si="4" ref="M3:M10">L3/L$11</f>
        <v>0.1332110350666761</v>
      </c>
      <c r="N3" s="62">
        <f>J3*(F3/100)+K3</f>
        <v>2133.9299999999994</v>
      </c>
      <c r="O3" s="63">
        <v>2150</v>
      </c>
      <c r="P3" s="64">
        <f aca="true" t="shared" si="5" ref="P3:P10">N3-O3</f>
        <v>-16.07000000000062</v>
      </c>
      <c r="Q3" s="65">
        <f aca="true" t="shared" si="6" ref="Q3:Q11">P3/O3</f>
        <v>-0.0074744186046514505</v>
      </c>
    </row>
    <row r="4" spans="1:17" ht="12.75">
      <c r="A4" s="55" t="s">
        <v>24</v>
      </c>
      <c r="B4" s="56">
        <v>1623</v>
      </c>
      <c r="C4" s="57">
        <v>0.6300000000000026</v>
      </c>
      <c r="E4" s="38">
        <v>30</v>
      </c>
      <c r="H4" s="58">
        <f t="shared" si="0"/>
        <v>27</v>
      </c>
      <c r="J4" s="58">
        <f t="shared" si="1"/>
        <v>1650</v>
      </c>
      <c r="K4" s="59">
        <f t="shared" si="2"/>
        <v>0.120000000000001</v>
      </c>
      <c r="L4" s="60">
        <f t="shared" si="3"/>
        <v>1650</v>
      </c>
      <c r="M4" s="61">
        <f t="shared" si="4"/>
        <v>0.11641854229873703</v>
      </c>
      <c r="N4" s="62">
        <f>J4*(F3/100)+K4</f>
        <v>1864.6199999999997</v>
      </c>
      <c r="O4" s="63">
        <v>1910</v>
      </c>
      <c r="P4" s="64">
        <f t="shared" si="5"/>
        <v>-45.38000000000034</v>
      </c>
      <c r="Q4" s="65">
        <f t="shared" si="6"/>
        <v>-0.023759162303665097</v>
      </c>
    </row>
    <row r="5" spans="1:17" ht="12.75">
      <c r="A5" s="55" t="s">
        <v>20</v>
      </c>
      <c r="B5" s="56">
        <v>1861</v>
      </c>
      <c r="C5" s="57">
        <v>1</v>
      </c>
      <c r="E5" s="38">
        <v>30</v>
      </c>
      <c r="H5" s="58">
        <f t="shared" si="0"/>
        <v>27</v>
      </c>
      <c r="J5" s="58">
        <f t="shared" si="1"/>
        <v>1888</v>
      </c>
      <c r="K5" s="59">
        <f t="shared" si="2"/>
        <v>0.48999999999999844</v>
      </c>
      <c r="L5" s="60">
        <f t="shared" si="3"/>
        <v>1888</v>
      </c>
      <c r="M5" s="61">
        <f t="shared" si="4"/>
        <v>0.1332110350666761</v>
      </c>
      <c r="N5" s="62">
        <f>J5*(F3/100)+K5</f>
        <v>2133.9299999999994</v>
      </c>
      <c r="O5" s="63">
        <v>2150</v>
      </c>
      <c r="P5" s="64">
        <f t="shared" si="5"/>
        <v>-16.07000000000062</v>
      </c>
      <c r="Q5" s="65">
        <f t="shared" si="6"/>
        <v>-0.0074744186046514505</v>
      </c>
    </row>
    <row r="6" spans="1:17" ht="12.75">
      <c r="A6" s="35" t="s">
        <v>22</v>
      </c>
      <c r="B6" s="56">
        <v>1622</v>
      </c>
      <c r="C6" s="57">
        <v>1</v>
      </c>
      <c r="E6" s="38">
        <v>30</v>
      </c>
      <c r="H6" s="58">
        <f t="shared" si="0"/>
        <v>27</v>
      </c>
      <c r="J6" s="58">
        <f t="shared" si="1"/>
        <v>1649</v>
      </c>
      <c r="K6" s="59">
        <f t="shared" si="2"/>
        <v>0.48999999999999844</v>
      </c>
      <c r="L6" s="60">
        <f t="shared" si="3"/>
        <v>1649</v>
      </c>
      <c r="M6" s="61">
        <f t="shared" si="4"/>
        <v>0.11634798560643476</v>
      </c>
      <c r="N6" s="62">
        <f>J6*(F3/100)+K6</f>
        <v>1863.86</v>
      </c>
      <c r="O6" s="63">
        <v>1910</v>
      </c>
      <c r="P6" s="64">
        <f t="shared" si="5"/>
        <v>-46.1400000000001</v>
      </c>
      <c r="Q6" s="65">
        <f t="shared" si="6"/>
        <v>-0.02415706806282728</v>
      </c>
    </row>
    <row r="7" spans="1:17" ht="12.75">
      <c r="A7" s="55" t="s">
        <v>19</v>
      </c>
      <c r="B7" s="56">
        <v>1622</v>
      </c>
      <c r="C7" s="57">
        <v>1</v>
      </c>
      <c r="E7" s="38">
        <v>30</v>
      </c>
      <c r="H7" s="58">
        <f t="shared" si="0"/>
        <v>27</v>
      </c>
      <c r="J7" s="58">
        <f t="shared" si="1"/>
        <v>1649</v>
      </c>
      <c r="K7" s="59">
        <f t="shared" si="2"/>
        <v>0.48999999999999844</v>
      </c>
      <c r="L7" s="60">
        <f t="shared" si="3"/>
        <v>1649</v>
      </c>
      <c r="M7" s="61">
        <f t="shared" si="4"/>
        <v>0.11634798560643476</v>
      </c>
      <c r="N7" s="62">
        <f>J7*(F3/100)+K7</f>
        <v>1863.86</v>
      </c>
      <c r="O7" s="63">
        <v>1910</v>
      </c>
      <c r="P7" s="64">
        <f t="shared" si="5"/>
        <v>-46.1400000000001</v>
      </c>
      <c r="Q7" s="65">
        <f t="shared" si="6"/>
        <v>-0.02415706806282728</v>
      </c>
    </row>
    <row r="8" spans="1:17" ht="12.75">
      <c r="A8" s="55" t="s">
        <v>14</v>
      </c>
      <c r="B8" s="56">
        <v>1862</v>
      </c>
      <c r="C8" s="57">
        <v>0.129999999999999</v>
      </c>
      <c r="E8" s="38">
        <v>30</v>
      </c>
      <c r="H8" s="58">
        <f t="shared" si="0"/>
        <v>26</v>
      </c>
      <c r="J8" s="58">
        <f t="shared" si="1"/>
        <v>1888</v>
      </c>
      <c r="K8" s="59">
        <f t="shared" si="2"/>
        <v>0.75</v>
      </c>
      <c r="L8" s="60">
        <f t="shared" si="3"/>
        <v>1888</v>
      </c>
      <c r="M8" s="61">
        <f t="shared" si="4"/>
        <v>0.1332110350666761</v>
      </c>
      <c r="N8" s="62">
        <f>J8*(F3/100)+K8</f>
        <v>2134.1899999999996</v>
      </c>
      <c r="O8" s="63">
        <v>2150.28</v>
      </c>
      <c r="P8" s="64">
        <f t="shared" si="5"/>
        <v>-16.0900000000006</v>
      </c>
      <c r="Q8" s="65">
        <f t="shared" si="6"/>
        <v>-0.0074827464330229545</v>
      </c>
    </row>
    <row r="9" spans="1:17" ht="12.75">
      <c r="A9" s="55" t="s">
        <v>18</v>
      </c>
      <c r="B9" s="56">
        <v>1861</v>
      </c>
      <c r="C9" s="57">
        <v>1</v>
      </c>
      <c r="E9" s="38">
        <v>30</v>
      </c>
      <c r="H9" s="58">
        <f t="shared" si="0"/>
        <v>27</v>
      </c>
      <c r="J9" s="58">
        <f t="shared" si="1"/>
        <v>1888</v>
      </c>
      <c r="K9" s="59">
        <f t="shared" si="2"/>
        <v>0.48999999999999844</v>
      </c>
      <c r="L9" s="60">
        <f t="shared" si="3"/>
        <v>1888</v>
      </c>
      <c r="M9" s="61">
        <f t="shared" si="4"/>
        <v>0.1332110350666761</v>
      </c>
      <c r="N9" s="62">
        <f>J9*(F3/100)+K9</f>
        <v>2133.9299999999994</v>
      </c>
      <c r="O9" s="63">
        <v>2150</v>
      </c>
      <c r="P9" s="64">
        <f t="shared" si="5"/>
        <v>-16.07000000000062</v>
      </c>
      <c r="Q9" s="65">
        <f t="shared" si="6"/>
        <v>-0.0074744186046514505</v>
      </c>
    </row>
    <row r="10" spans="1:17" ht="12.75">
      <c r="A10" s="55" t="s">
        <v>17</v>
      </c>
      <c r="B10" s="56">
        <v>1647</v>
      </c>
      <c r="C10" s="57">
        <v>0.0400000000000027</v>
      </c>
      <c r="E10" s="38">
        <v>30</v>
      </c>
      <c r="H10" s="58">
        <f t="shared" si="0"/>
        <v>26</v>
      </c>
      <c r="J10" s="58">
        <f t="shared" si="1"/>
        <v>1673</v>
      </c>
      <c r="K10" s="59">
        <f t="shared" si="2"/>
        <v>0.6600000000000037</v>
      </c>
      <c r="L10" s="60">
        <f t="shared" si="3"/>
        <v>1673</v>
      </c>
      <c r="M10" s="61">
        <f t="shared" si="4"/>
        <v>0.11804134622168913</v>
      </c>
      <c r="N10" s="62">
        <f>J10*(F3/100)+K10</f>
        <v>1891.1499999999999</v>
      </c>
      <c r="O10" s="63">
        <v>1940</v>
      </c>
      <c r="P10" s="64">
        <f t="shared" si="5"/>
        <v>-48.850000000000136</v>
      </c>
      <c r="Q10" s="65">
        <f t="shared" si="6"/>
        <v>-0.02518041237113409</v>
      </c>
    </row>
    <row r="11" spans="5:17" ht="12.75">
      <c r="E11" s="38">
        <f>SUM(E3:E10)</f>
        <v>240</v>
      </c>
      <c r="J11" s="66">
        <f aca="true" t="shared" si="7" ref="J11:P11">SUM(J3:J10)</f>
        <v>14173</v>
      </c>
      <c r="K11" s="59">
        <f t="shared" si="7"/>
        <v>3.979999999999997</v>
      </c>
      <c r="L11" s="67">
        <f t="shared" si="7"/>
        <v>14173</v>
      </c>
      <c r="M11" s="61">
        <f t="shared" si="7"/>
        <v>1</v>
      </c>
      <c r="N11" s="68">
        <f t="shared" si="7"/>
        <v>16019.47</v>
      </c>
      <c r="O11" s="69">
        <f t="shared" si="7"/>
        <v>16270.28</v>
      </c>
      <c r="P11" s="70">
        <f t="shared" si="7"/>
        <v>-250.81000000000313</v>
      </c>
      <c r="Q11" s="65">
        <f t="shared" si="6"/>
        <v>-0.015415223339733743</v>
      </c>
    </row>
    <row r="13" ht="12.75">
      <c r="A13" s="54">
        <f>A2+31</f>
        <v>38474</v>
      </c>
    </row>
    <row r="14" spans="1:17" ht="12.75">
      <c r="A14" s="55" t="s">
        <v>13</v>
      </c>
      <c r="B14" s="66">
        <f aca="true" t="shared" si="8" ref="B14:C21">J3</f>
        <v>1888</v>
      </c>
      <c r="C14" s="57">
        <f t="shared" si="8"/>
        <v>0.48999999999999844</v>
      </c>
      <c r="E14" s="38">
        <v>30</v>
      </c>
      <c r="F14" s="39">
        <f>Assets!I20</f>
        <v>112.00000000000001</v>
      </c>
      <c r="H14" s="58">
        <f aca="true" t="shared" si="9" ref="H14:H21">INT(100*(C14+E14)/F$14)</f>
        <v>27</v>
      </c>
      <c r="J14" s="58">
        <f aca="true" t="shared" si="10" ref="J14:J20">B14+H14</f>
        <v>1915</v>
      </c>
      <c r="K14" s="59">
        <f aca="true" t="shared" si="11" ref="K14:K20">(E14+C14)-ROUND(H14*F$14/100,2)</f>
        <v>0.25</v>
      </c>
      <c r="L14" s="60">
        <f aca="true" t="shared" si="12" ref="L14:L21">L3+J14</f>
        <v>3803</v>
      </c>
      <c r="M14" s="61">
        <f aca="true" t="shared" si="13" ref="M14:M21">L14/L$22</f>
        <v>0.14158073042701314</v>
      </c>
      <c r="N14" s="62">
        <f>J14*(F14/100)+K14</f>
        <v>2145.05</v>
      </c>
      <c r="O14" s="63">
        <f aca="true" t="shared" si="14" ref="O14:O20">O3+E14</f>
        <v>2180</v>
      </c>
      <c r="P14" s="64">
        <f aca="true" t="shared" si="15" ref="P14:P20">N14-O14</f>
        <v>-34.94999999999982</v>
      </c>
      <c r="Q14" s="65">
        <f aca="true" t="shared" si="16" ref="Q14:Q20">P14/O14</f>
        <v>-0.016032110091743036</v>
      </c>
    </row>
    <row r="15" spans="1:17" ht="12.75">
      <c r="A15" s="55" t="s">
        <v>24</v>
      </c>
      <c r="B15" s="66">
        <f t="shared" si="8"/>
        <v>1650</v>
      </c>
      <c r="C15" s="57">
        <f t="shared" si="8"/>
        <v>0.120000000000001</v>
      </c>
      <c r="E15" s="38">
        <v>30</v>
      </c>
      <c r="H15" s="58">
        <f t="shared" si="9"/>
        <v>26</v>
      </c>
      <c r="J15" s="58">
        <f t="shared" si="10"/>
        <v>1676</v>
      </c>
      <c r="K15" s="59">
        <f t="shared" si="11"/>
        <v>1</v>
      </c>
      <c r="L15" s="60">
        <f t="shared" si="12"/>
        <v>3326</v>
      </c>
      <c r="M15" s="61">
        <f t="shared" si="13"/>
        <v>0.12382264249283348</v>
      </c>
      <c r="N15" s="62">
        <f>J15*(F14/100)+K15</f>
        <v>1878.1200000000001</v>
      </c>
      <c r="O15" s="63">
        <f t="shared" si="14"/>
        <v>1940</v>
      </c>
      <c r="P15" s="64">
        <f t="shared" si="15"/>
        <v>-61.87999999999988</v>
      </c>
      <c r="Q15" s="65">
        <f t="shared" si="16"/>
        <v>-0.03189690721649478</v>
      </c>
    </row>
    <row r="16" spans="1:17" ht="12.75">
      <c r="A16" s="55" t="s">
        <v>20</v>
      </c>
      <c r="B16" s="66">
        <f t="shared" si="8"/>
        <v>1888</v>
      </c>
      <c r="C16" s="57">
        <f t="shared" si="8"/>
        <v>0.48999999999999844</v>
      </c>
      <c r="E16" s="38">
        <v>30</v>
      </c>
      <c r="H16" s="58">
        <f t="shared" si="9"/>
        <v>27</v>
      </c>
      <c r="J16" s="58">
        <f t="shared" si="10"/>
        <v>1915</v>
      </c>
      <c r="K16" s="59">
        <f t="shared" si="11"/>
        <v>0.25</v>
      </c>
      <c r="L16" s="60">
        <f t="shared" si="12"/>
        <v>3803</v>
      </c>
      <c r="M16" s="61">
        <f t="shared" si="13"/>
        <v>0.14158073042701314</v>
      </c>
      <c r="N16" s="62">
        <f>J16*(F14/100)+K16</f>
        <v>2145.05</v>
      </c>
      <c r="O16" s="63">
        <f t="shared" si="14"/>
        <v>2180</v>
      </c>
      <c r="P16" s="64">
        <f t="shared" si="15"/>
        <v>-34.94999999999982</v>
      </c>
      <c r="Q16" s="65">
        <f t="shared" si="16"/>
        <v>-0.016032110091743036</v>
      </c>
    </row>
    <row r="17" spans="1:17" ht="12.75">
      <c r="A17" s="35" t="s">
        <v>22</v>
      </c>
      <c r="B17" s="66">
        <f t="shared" si="8"/>
        <v>1649</v>
      </c>
      <c r="C17" s="57">
        <f t="shared" si="8"/>
        <v>0.48999999999999844</v>
      </c>
      <c r="E17" s="38">
        <v>30</v>
      </c>
      <c r="H17" s="58">
        <f t="shared" si="9"/>
        <v>27</v>
      </c>
      <c r="J17" s="58">
        <f t="shared" si="10"/>
        <v>1676</v>
      </c>
      <c r="K17" s="59">
        <f t="shared" si="11"/>
        <v>0.25</v>
      </c>
      <c r="L17" s="60">
        <f t="shared" si="12"/>
        <v>3325</v>
      </c>
      <c r="M17" s="61">
        <f t="shared" si="13"/>
        <v>0.1237854137969547</v>
      </c>
      <c r="N17" s="62">
        <f>J17*(F14/100)+K17</f>
        <v>1877.3700000000001</v>
      </c>
      <c r="O17" s="63">
        <f t="shared" si="14"/>
        <v>1940</v>
      </c>
      <c r="P17" s="64">
        <f t="shared" si="15"/>
        <v>-62.62999999999988</v>
      </c>
      <c r="Q17" s="65">
        <f t="shared" si="16"/>
        <v>-0.03228350515463911</v>
      </c>
    </row>
    <row r="18" spans="1:17" ht="12.75">
      <c r="A18" s="55" t="s">
        <v>19</v>
      </c>
      <c r="B18" s="66">
        <f t="shared" si="8"/>
        <v>1649</v>
      </c>
      <c r="C18" s="57">
        <f t="shared" si="8"/>
        <v>0.48999999999999844</v>
      </c>
      <c r="E18" s="38">
        <v>30</v>
      </c>
      <c r="H18" s="58">
        <f t="shared" si="9"/>
        <v>27</v>
      </c>
      <c r="J18" s="58">
        <f t="shared" si="10"/>
        <v>1676</v>
      </c>
      <c r="K18" s="59">
        <f t="shared" si="11"/>
        <v>0.25</v>
      </c>
      <c r="L18" s="60">
        <f t="shared" si="12"/>
        <v>3325</v>
      </c>
      <c r="M18" s="61">
        <f t="shared" si="13"/>
        <v>0.1237854137969547</v>
      </c>
      <c r="N18" s="62">
        <f>J18*(F14/100)+K18</f>
        <v>1877.3700000000001</v>
      </c>
      <c r="O18" s="63">
        <f t="shared" si="14"/>
        <v>1940</v>
      </c>
      <c r="P18" s="64">
        <f t="shared" si="15"/>
        <v>-62.62999999999988</v>
      </c>
      <c r="Q18" s="65">
        <f t="shared" si="16"/>
        <v>-0.03228350515463911</v>
      </c>
    </row>
    <row r="19" spans="1:17" ht="12.75">
      <c r="A19" s="55" t="s">
        <v>14</v>
      </c>
      <c r="B19" s="66">
        <f t="shared" si="8"/>
        <v>1888</v>
      </c>
      <c r="C19" s="57">
        <f t="shared" si="8"/>
        <v>0.75</v>
      </c>
      <c r="E19" s="38">
        <v>30</v>
      </c>
      <c r="H19" s="58">
        <f t="shared" si="9"/>
        <v>27</v>
      </c>
      <c r="J19" s="58">
        <f t="shared" si="10"/>
        <v>1915</v>
      </c>
      <c r="K19" s="59">
        <f t="shared" si="11"/>
        <v>0.5100000000000016</v>
      </c>
      <c r="L19" s="60">
        <f t="shared" si="12"/>
        <v>3803</v>
      </c>
      <c r="M19" s="61">
        <f t="shared" si="13"/>
        <v>0.14158073042701314</v>
      </c>
      <c r="N19" s="62">
        <f>J19*(F14/100)+K19</f>
        <v>2145.3100000000004</v>
      </c>
      <c r="O19" s="63">
        <f t="shared" si="14"/>
        <v>2180.28</v>
      </c>
      <c r="P19" s="64">
        <f t="shared" si="15"/>
        <v>-34.9699999999998</v>
      </c>
      <c r="Q19" s="65">
        <f t="shared" si="16"/>
        <v>-0.016039224319812043</v>
      </c>
    </row>
    <row r="20" spans="1:17" ht="12.75">
      <c r="A20" s="55" t="s">
        <v>18</v>
      </c>
      <c r="B20" s="66">
        <f t="shared" si="8"/>
        <v>1888</v>
      </c>
      <c r="C20" s="57">
        <f t="shared" si="8"/>
        <v>0.48999999999999844</v>
      </c>
      <c r="E20" s="38">
        <v>30</v>
      </c>
      <c r="H20" s="58">
        <f t="shared" si="9"/>
        <v>27</v>
      </c>
      <c r="J20" s="58">
        <f t="shared" si="10"/>
        <v>1915</v>
      </c>
      <c r="K20" s="59">
        <f t="shared" si="11"/>
        <v>0.25</v>
      </c>
      <c r="L20" s="60">
        <f t="shared" si="12"/>
        <v>3803</v>
      </c>
      <c r="M20" s="61">
        <f t="shared" si="13"/>
        <v>0.14158073042701314</v>
      </c>
      <c r="N20" s="62">
        <f>J20*(F14/100)+K20</f>
        <v>2145.05</v>
      </c>
      <c r="O20" s="63">
        <f t="shared" si="14"/>
        <v>2180</v>
      </c>
      <c r="P20" s="64">
        <f t="shared" si="15"/>
        <v>-34.94999999999982</v>
      </c>
      <c r="Q20" s="65">
        <f t="shared" si="16"/>
        <v>-0.016032110091743036</v>
      </c>
    </row>
    <row r="21" spans="1:18" ht="12.75">
      <c r="A21" s="55" t="s">
        <v>17</v>
      </c>
      <c r="B21" s="66">
        <f t="shared" si="8"/>
        <v>1673</v>
      </c>
      <c r="C21" s="57">
        <f t="shared" si="8"/>
        <v>0.6600000000000037</v>
      </c>
      <c r="D21" s="71">
        <f>J10</f>
        <v>1673</v>
      </c>
      <c r="H21" s="58">
        <f t="shared" si="9"/>
        <v>0</v>
      </c>
      <c r="J21" s="58">
        <f>B21+H21-D21</f>
        <v>0</v>
      </c>
      <c r="K21" s="59"/>
      <c r="L21" s="60">
        <f t="shared" si="12"/>
        <v>1673</v>
      </c>
      <c r="M21" s="61">
        <f t="shared" si="13"/>
        <v>0.06228360820520457</v>
      </c>
      <c r="N21" s="62"/>
      <c r="O21" s="63"/>
      <c r="P21" s="64"/>
      <c r="Q21" s="65"/>
      <c r="R21">
        <f>D21*F14/100+C21+30</f>
        <v>1904.4200000000003</v>
      </c>
    </row>
    <row r="22" spans="5:17" ht="12.75">
      <c r="E22" s="38">
        <f>SUM(E14:E21)</f>
        <v>210</v>
      </c>
      <c r="J22" s="66">
        <f aca="true" t="shared" si="17" ref="J22:P22">SUM(J14:J21)</f>
        <v>12688</v>
      </c>
      <c r="K22" s="59">
        <f t="shared" si="17"/>
        <v>2.7600000000000016</v>
      </c>
      <c r="L22" s="67">
        <f t="shared" si="17"/>
        <v>26861</v>
      </c>
      <c r="M22" s="61">
        <f t="shared" si="17"/>
        <v>1</v>
      </c>
      <c r="N22" s="68">
        <f t="shared" si="17"/>
        <v>14213.32</v>
      </c>
      <c r="O22" s="69">
        <f t="shared" si="17"/>
        <v>14540.28</v>
      </c>
      <c r="P22" s="70">
        <f t="shared" si="17"/>
        <v>-326.9599999999989</v>
      </c>
      <c r="Q22" s="65">
        <f>P22/O22</f>
        <v>-0.02248649957222274</v>
      </c>
    </row>
    <row r="24" ht="12.75">
      <c r="A24" s="54">
        <f>A13+31</f>
        <v>38505</v>
      </c>
    </row>
    <row r="25" spans="1:17" ht="12.75">
      <c r="A25" s="55" t="s">
        <v>13</v>
      </c>
      <c r="B25" s="66">
        <f aca="true" t="shared" si="18" ref="B25:B31">J14</f>
        <v>1915</v>
      </c>
      <c r="C25" s="57">
        <f aca="true" t="shared" si="19" ref="C25:C31">K14</f>
        <v>0.25</v>
      </c>
      <c r="E25" s="38">
        <v>30</v>
      </c>
      <c r="F25" s="39">
        <f>Assets!I45</f>
        <v>112.99999999999999</v>
      </c>
      <c r="H25" s="58">
        <f aca="true" t="shared" si="20" ref="H25:H31">INT(100*(C25+E25)/F$14)</f>
        <v>27</v>
      </c>
      <c r="J25" s="58">
        <f aca="true" t="shared" si="21" ref="J25:J31">B25+H25</f>
        <v>1942</v>
      </c>
      <c r="K25" s="59">
        <f aca="true" t="shared" si="22" ref="K25:K31">(E25+C25)-ROUND(H25*F$14/100,2)</f>
        <v>0.010000000000001563</v>
      </c>
      <c r="L25" s="60">
        <f aca="true" t="shared" si="23" ref="L25:L32">L14+J25</f>
        <v>5745</v>
      </c>
      <c r="M25" s="61">
        <f aca="true" t="shared" si="24" ref="M25:M32">L25/L$22</f>
        <v>0.21387885782361044</v>
      </c>
      <c r="N25" s="62">
        <f>J25*(F25/100)+K25</f>
        <v>2194.47</v>
      </c>
      <c r="O25" s="63">
        <f aca="true" t="shared" si="25" ref="O25:O31">O14+E25</f>
        <v>2210</v>
      </c>
      <c r="P25" s="64">
        <f aca="true" t="shared" si="26" ref="P25:P31">N25-O25</f>
        <v>-15.5300000000002</v>
      </c>
      <c r="Q25" s="65">
        <f aca="true" t="shared" si="27" ref="Q25:Q31">P25/O25</f>
        <v>-0.007027149321267059</v>
      </c>
    </row>
    <row r="26" spans="1:17" ht="12.75">
      <c r="A26" s="55" t="s">
        <v>24</v>
      </c>
      <c r="B26" s="66">
        <f t="shared" si="18"/>
        <v>1676</v>
      </c>
      <c r="C26" s="57">
        <f t="shared" si="19"/>
        <v>1</v>
      </c>
      <c r="E26" s="38">
        <v>30</v>
      </c>
      <c r="H26" s="58">
        <f t="shared" si="20"/>
        <v>27</v>
      </c>
      <c r="J26" s="58">
        <f t="shared" si="21"/>
        <v>1703</v>
      </c>
      <c r="K26" s="59">
        <f t="shared" si="22"/>
        <v>0.7600000000000016</v>
      </c>
      <c r="L26" s="60">
        <f t="shared" si="23"/>
        <v>5029</v>
      </c>
      <c r="M26" s="61">
        <f t="shared" si="24"/>
        <v>0.18722311157440155</v>
      </c>
      <c r="N26" s="62">
        <f>J26*(F25/100)+K26</f>
        <v>1925.1499999999999</v>
      </c>
      <c r="O26" s="63">
        <f t="shared" si="25"/>
        <v>1970</v>
      </c>
      <c r="P26" s="64">
        <f t="shared" si="26"/>
        <v>-44.850000000000136</v>
      </c>
      <c r="Q26" s="65">
        <f t="shared" si="27"/>
        <v>-0.022766497461929002</v>
      </c>
    </row>
    <row r="27" spans="1:18" ht="12.75">
      <c r="A27" s="55" t="s">
        <v>20</v>
      </c>
      <c r="B27" s="66">
        <f t="shared" si="18"/>
        <v>1915</v>
      </c>
      <c r="C27" s="57">
        <f t="shared" si="19"/>
        <v>0.25</v>
      </c>
      <c r="D27" s="37">
        <v>1915</v>
      </c>
      <c r="H27" s="58">
        <f t="shared" si="20"/>
        <v>0</v>
      </c>
      <c r="J27" s="58">
        <f>B27+H27-D27</f>
        <v>0</v>
      </c>
      <c r="K27" s="59"/>
      <c r="L27" s="60">
        <f t="shared" si="23"/>
        <v>3803</v>
      </c>
      <c r="M27" s="61">
        <f t="shared" si="24"/>
        <v>0.14158073042701314</v>
      </c>
      <c r="N27" s="62"/>
      <c r="O27" s="63"/>
      <c r="P27" s="64"/>
      <c r="Q27" s="65"/>
      <c r="R27">
        <f>D27*F25/100+C27</f>
        <v>2164.2</v>
      </c>
    </row>
    <row r="28" spans="1:17" ht="12.75">
      <c r="A28" s="35" t="s">
        <v>22</v>
      </c>
      <c r="B28" s="66">
        <f t="shared" si="18"/>
        <v>1676</v>
      </c>
      <c r="C28" s="57">
        <f t="shared" si="19"/>
        <v>0.25</v>
      </c>
      <c r="E28" s="38">
        <v>30</v>
      </c>
      <c r="H28" s="58">
        <f t="shared" si="20"/>
        <v>27</v>
      </c>
      <c r="J28" s="58">
        <f t="shared" si="21"/>
        <v>1703</v>
      </c>
      <c r="K28" s="59">
        <f t="shared" si="22"/>
        <v>0.010000000000001563</v>
      </c>
      <c r="L28" s="60">
        <f t="shared" si="23"/>
        <v>5028</v>
      </c>
      <c r="M28" s="61">
        <f t="shared" si="24"/>
        <v>0.18718588287852275</v>
      </c>
      <c r="N28" s="62">
        <f>J28*(F25/100)+K28</f>
        <v>1924.3999999999999</v>
      </c>
      <c r="O28" s="63">
        <f t="shared" si="25"/>
        <v>1970</v>
      </c>
      <c r="P28" s="64">
        <f t="shared" si="26"/>
        <v>-45.600000000000136</v>
      </c>
      <c r="Q28" s="65">
        <f t="shared" si="27"/>
        <v>-0.02314720812182748</v>
      </c>
    </row>
    <row r="29" spans="1:17" ht="12.75">
      <c r="A29" s="55" t="s">
        <v>19</v>
      </c>
      <c r="B29" s="66">
        <f t="shared" si="18"/>
        <v>1676</v>
      </c>
      <c r="C29" s="57">
        <f t="shared" si="19"/>
        <v>0.25</v>
      </c>
      <c r="E29" s="38">
        <v>30</v>
      </c>
      <c r="H29" s="58">
        <f t="shared" si="20"/>
        <v>27</v>
      </c>
      <c r="J29" s="58">
        <f t="shared" si="21"/>
        <v>1703</v>
      </c>
      <c r="K29" s="59">
        <f t="shared" si="22"/>
        <v>0.010000000000001563</v>
      </c>
      <c r="L29" s="60">
        <f t="shared" si="23"/>
        <v>5028</v>
      </c>
      <c r="M29" s="61">
        <f t="shared" si="24"/>
        <v>0.18718588287852275</v>
      </c>
      <c r="N29" s="62">
        <f>J29*(F25/100)+K29</f>
        <v>1924.3999999999999</v>
      </c>
      <c r="O29" s="63">
        <f t="shared" si="25"/>
        <v>1970</v>
      </c>
      <c r="P29" s="64">
        <f t="shared" si="26"/>
        <v>-45.600000000000136</v>
      </c>
      <c r="Q29" s="65">
        <f t="shared" si="27"/>
        <v>-0.02314720812182748</v>
      </c>
    </row>
    <row r="30" spans="1:17" ht="12.75">
      <c r="A30" s="55" t="s">
        <v>14</v>
      </c>
      <c r="B30" s="66">
        <f t="shared" si="18"/>
        <v>1915</v>
      </c>
      <c r="C30" s="57">
        <f t="shared" si="19"/>
        <v>0.5100000000000016</v>
      </c>
      <c r="E30" s="38">
        <v>30</v>
      </c>
      <c r="H30" s="58">
        <f t="shared" si="20"/>
        <v>27</v>
      </c>
      <c r="J30" s="58">
        <f t="shared" si="21"/>
        <v>1942</v>
      </c>
      <c r="K30" s="59">
        <f t="shared" si="22"/>
        <v>0.2700000000000031</v>
      </c>
      <c r="L30" s="60">
        <f t="shared" si="23"/>
        <v>5745</v>
      </c>
      <c r="M30" s="61">
        <f t="shared" si="24"/>
        <v>0.21387885782361044</v>
      </c>
      <c r="N30" s="62">
        <f>J30*(F25/100)+K30</f>
        <v>2194.7299999999996</v>
      </c>
      <c r="O30" s="63">
        <f t="shared" si="25"/>
        <v>2210.28</v>
      </c>
      <c r="P30" s="64">
        <f t="shared" si="26"/>
        <v>-15.550000000000637</v>
      </c>
      <c r="Q30" s="65">
        <f t="shared" si="27"/>
        <v>-0.007035307743815551</v>
      </c>
    </row>
    <row r="31" spans="1:17" ht="12.75">
      <c r="A31" s="55" t="s">
        <v>18</v>
      </c>
      <c r="B31" s="66">
        <f t="shared" si="18"/>
        <v>1915</v>
      </c>
      <c r="C31" s="57">
        <f t="shared" si="19"/>
        <v>0.25</v>
      </c>
      <c r="E31" s="38">
        <v>30</v>
      </c>
      <c r="H31" s="58">
        <f t="shared" si="20"/>
        <v>27</v>
      </c>
      <c r="J31" s="58">
        <f t="shared" si="21"/>
        <v>1942</v>
      </c>
      <c r="K31" s="59">
        <f t="shared" si="22"/>
        <v>0.010000000000001563</v>
      </c>
      <c r="L31" s="60">
        <f t="shared" si="23"/>
        <v>5745</v>
      </c>
      <c r="M31" s="61">
        <f t="shared" si="24"/>
        <v>0.21387885782361044</v>
      </c>
      <c r="N31" s="62">
        <f>J31*(F25/100)+K31</f>
        <v>2194.47</v>
      </c>
      <c r="O31" s="63">
        <f t="shared" si="25"/>
        <v>2210</v>
      </c>
      <c r="P31" s="64">
        <f t="shared" si="26"/>
        <v>-15.5300000000002</v>
      </c>
      <c r="Q31" s="65">
        <f t="shared" si="27"/>
        <v>-0.007027149321267059</v>
      </c>
    </row>
    <row r="32" spans="1:17" ht="12.75">
      <c r="A32" s="55" t="s">
        <v>17</v>
      </c>
      <c r="B32" s="66"/>
      <c r="C32" s="57"/>
      <c r="D32" s="71"/>
      <c r="H32" s="58"/>
      <c r="J32" s="58"/>
      <c r="K32" s="59"/>
      <c r="L32" s="60">
        <f t="shared" si="23"/>
        <v>1673</v>
      </c>
      <c r="M32" s="61">
        <f t="shared" si="24"/>
        <v>0.06228360820520457</v>
      </c>
      <c r="N32" s="62"/>
      <c r="O32" s="63"/>
      <c r="P32" s="64"/>
      <c r="Q32" s="65"/>
    </row>
    <row r="33" spans="5:17" ht="12.75">
      <c r="E33" s="38">
        <f>SUM(E25:E32)</f>
        <v>180</v>
      </c>
      <c r="J33" s="66">
        <f aca="true" t="shared" si="28" ref="J33:P33">SUM(J25:J32)</f>
        <v>10935</v>
      </c>
      <c r="K33" s="59">
        <f t="shared" si="28"/>
        <v>1.070000000000011</v>
      </c>
      <c r="L33" s="67">
        <f t="shared" si="28"/>
        <v>37796</v>
      </c>
      <c r="M33" s="61">
        <f t="shared" si="28"/>
        <v>1.407095789434496</v>
      </c>
      <c r="N33" s="68">
        <f t="shared" si="28"/>
        <v>12357.619999999997</v>
      </c>
      <c r="O33" s="69">
        <f t="shared" si="28"/>
        <v>12540.28</v>
      </c>
      <c r="P33" s="70">
        <f t="shared" si="28"/>
        <v>-182.66000000000145</v>
      </c>
      <c r="Q33" s="65">
        <f>P33/O33</f>
        <v>-0.014565862963187539</v>
      </c>
    </row>
    <row r="35" ht="12.75">
      <c r="A35" s="54">
        <f>A24+31</f>
        <v>38536</v>
      </c>
    </row>
    <row r="36" spans="1:17" ht="12.75">
      <c r="A36" s="55" t="s">
        <v>13</v>
      </c>
      <c r="B36" s="66">
        <f aca="true" t="shared" si="29" ref="B36:B42">J25</f>
        <v>1942</v>
      </c>
      <c r="C36" s="57">
        <f aca="true" t="shared" si="30" ref="C36:C42">K25</f>
        <v>0.010000000000001563</v>
      </c>
      <c r="E36" s="38">
        <v>30</v>
      </c>
      <c r="F36" s="39">
        <f>Assets!I69</f>
        <v>117</v>
      </c>
      <c r="H36" s="58">
        <f aca="true" t="shared" si="31" ref="H36:H42">INT(100*(C36+E36)/F$14)</f>
        <v>26</v>
      </c>
      <c r="J36" s="58">
        <f>B36+H36</f>
        <v>1968</v>
      </c>
      <c r="K36" s="59">
        <f>(E36+C36)-ROUND(H36*F$14/100,2)</f>
        <v>0.8900000000000006</v>
      </c>
      <c r="L36" s="60">
        <f aca="true" t="shared" si="32" ref="L36:L43">L25+J36</f>
        <v>7713</v>
      </c>
      <c r="M36" s="61">
        <f aca="true" t="shared" si="33" ref="M36:M43">L36/L$22</f>
        <v>0.28714493131305613</v>
      </c>
      <c r="N36" s="62">
        <f>J36*(F36/100)+K36</f>
        <v>2303.45</v>
      </c>
      <c r="O36" s="63">
        <f>O25+E36</f>
        <v>2240</v>
      </c>
      <c r="P36" s="64">
        <f>N36-O36</f>
        <v>63.44999999999982</v>
      </c>
      <c r="Q36" s="65">
        <f>P36/O36</f>
        <v>0.028325892857142775</v>
      </c>
    </row>
    <row r="37" spans="1:17" ht="12.75">
      <c r="A37" s="55" t="s">
        <v>24</v>
      </c>
      <c r="B37" s="66">
        <f t="shared" si="29"/>
        <v>1703</v>
      </c>
      <c r="C37" s="57">
        <f t="shared" si="30"/>
        <v>0.7600000000000016</v>
      </c>
      <c r="E37" s="38">
        <v>30</v>
      </c>
      <c r="H37" s="58">
        <f t="shared" si="31"/>
        <v>27</v>
      </c>
      <c r="J37" s="58">
        <f>B37+H37</f>
        <v>1730</v>
      </c>
      <c r="K37" s="59">
        <f>(E37+C37)-ROUND(H37*F$14/100,2)</f>
        <v>0.5200000000000031</v>
      </c>
      <c r="L37" s="60">
        <f t="shared" si="32"/>
        <v>6759</v>
      </c>
      <c r="M37" s="61">
        <f t="shared" si="33"/>
        <v>0.25162875544469676</v>
      </c>
      <c r="N37" s="62">
        <f>J37*(F36/100)+K37</f>
        <v>2024.62</v>
      </c>
      <c r="O37" s="63">
        <f>O26+E37</f>
        <v>2000</v>
      </c>
      <c r="P37" s="64">
        <f>N37-O37</f>
        <v>24.61999999999989</v>
      </c>
      <c r="Q37" s="65">
        <f>P37/O37</f>
        <v>0.012309999999999946</v>
      </c>
    </row>
    <row r="38" spans="1:18" ht="12.75">
      <c r="A38" s="55" t="s">
        <v>20</v>
      </c>
      <c r="B38" s="66"/>
      <c r="C38" s="57"/>
      <c r="H38" s="58"/>
      <c r="J38" s="58"/>
      <c r="K38" s="59"/>
      <c r="L38" s="60">
        <f t="shared" si="32"/>
        <v>3803</v>
      </c>
      <c r="M38" s="61">
        <f t="shared" si="33"/>
        <v>0.14158073042701314</v>
      </c>
      <c r="N38" s="62"/>
      <c r="O38" s="63"/>
      <c r="P38" s="64"/>
      <c r="Q38" s="65"/>
      <c r="R38">
        <f>D38*F36/100+C38</f>
        <v>0</v>
      </c>
    </row>
    <row r="39" spans="1:17" ht="12.75">
      <c r="A39" s="35" t="s">
        <v>22</v>
      </c>
      <c r="B39" s="66">
        <f t="shared" si="29"/>
        <v>1703</v>
      </c>
      <c r="C39" s="57">
        <f t="shared" si="30"/>
        <v>0.010000000000001563</v>
      </c>
      <c r="E39" s="38">
        <v>30</v>
      </c>
      <c r="H39" s="58">
        <f t="shared" si="31"/>
        <v>26</v>
      </c>
      <c r="J39" s="58">
        <f aca="true" t="shared" si="34" ref="J39:J44">B39+H39</f>
        <v>1729</v>
      </c>
      <c r="K39" s="59">
        <f aca="true" t="shared" si="35" ref="K39:K44">(E39+C39)-ROUND(H39*F$14/100,2)</f>
        <v>0.8900000000000006</v>
      </c>
      <c r="L39" s="60">
        <f t="shared" si="32"/>
        <v>6757</v>
      </c>
      <c r="M39" s="61">
        <f t="shared" si="33"/>
        <v>0.2515542980529392</v>
      </c>
      <c r="N39" s="62">
        <f>J39*(F36/100)+K39</f>
        <v>2023.82</v>
      </c>
      <c r="O39" s="63">
        <f>O28+E39</f>
        <v>2000</v>
      </c>
      <c r="P39" s="64">
        <f>N39-O39</f>
        <v>23.819999999999936</v>
      </c>
      <c r="Q39" s="65">
        <f>P39/O39</f>
        <v>0.011909999999999967</v>
      </c>
    </row>
    <row r="40" spans="1:17" ht="12.75">
      <c r="A40" s="55" t="s">
        <v>19</v>
      </c>
      <c r="B40" s="66">
        <f t="shared" si="29"/>
        <v>1703</v>
      </c>
      <c r="C40" s="57">
        <f t="shared" si="30"/>
        <v>0.010000000000001563</v>
      </c>
      <c r="E40" s="38">
        <v>30</v>
      </c>
      <c r="H40" s="58">
        <f t="shared" si="31"/>
        <v>26</v>
      </c>
      <c r="J40" s="58">
        <f t="shared" si="34"/>
        <v>1729</v>
      </c>
      <c r="K40" s="59">
        <f t="shared" si="35"/>
        <v>0.8900000000000006</v>
      </c>
      <c r="L40" s="60">
        <f t="shared" si="32"/>
        <v>6757</v>
      </c>
      <c r="M40" s="61">
        <f t="shared" si="33"/>
        <v>0.2515542980529392</v>
      </c>
      <c r="N40" s="62">
        <f>J40*(F36/100)+K40</f>
        <v>2023.82</v>
      </c>
      <c r="O40" s="63">
        <f>O29+E40</f>
        <v>2000</v>
      </c>
      <c r="P40" s="64">
        <f>N40-O40</f>
        <v>23.819999999999936</v>
      </c>
      <c r="Q40" s="65">
        <f>P40/O40</f>
        <v>0.011909999999999967</v>
      </c>
    </row>
    <row r="41" spans="1:17" ht="12.75">
      <c r="A41" s="55" t="s">
        <v>14</v>
      </c>
      <c r="B41" s="66">
        <f t="shared" si="29"/>
        <v>1942</v>
      </c>
      <c r="C41" s="57">
        <f t="shared" si="30"/>
        <v>0.2700000000000031</v>
      </c>
      <c r="E41" s="38">
        <v>30</v>
      </c>
      <c r="H41" s="58">
        <f t="shared" si="31"/>
        <v>27</v>
      </c>
      <c r="J41" s="58">
        <f t="shared" si="34"/>
        <v>1969</v>
      </c>
      <c r="K41" s="59">
        <f t="shared" si="35"/>
        <v>0.03000000000000469</v>
      </c>
      <c r="L41" s="60">
        <f t="shared" si="32"/>
        <v>7714</v>
      </c>
      <c r="M41" s="61">
        <f t="shared" si="33"/>
        <v>0.2871821600089349</v>
      </c>
      <c r="N41" s="62">
        <f>J41*(F36/100)+K41</f>
        <v>2303.76</v>
      </c>
      <c r="O41" s="63">
        <f>O30+E41</f>
        <v>2240.28</v>
      </c>
      <c r="P41" s="64">
        <f>N41-O41</f>
        <v>63.48000000000002</v>
      </c>
      <c r="Q41" s="65">
        <f>P41/O41</f>
        <v>0.02833574374631743</v>
      </c>
    </row>
    <row r="42" spans="1:17" ht="12.75">
      <c r="A42" s="55" t="s">
        <v>18</v>
      </c>
      <c r="B42" s="66">
        <f t="shared" si="29"/>
        <v>1942</v>
      </c>
      <c r="C42" s="57">
        <f t="shared" si="30"/>
        <v>0.010000000000001563</v>
      </c>
      <c r="E42" s="38">
        <v>30</v>
      </c>
      <c r="H42" s="58">
        <f t="shared" si="31"/>
        <v>26</v>
      </c>
      <c r="J42" s="58">
        <f t="shared" si="34"/>
        <v>1968</v>
      </c>
      <c r="K42" s="59">
        <f t="shared" si="35"/>
        <v>0.8900000000000006</v>
      </c>
      <c r="L42" s="60">
        <f t="shared" si="32"/>
        <v>7713</v>
      </c>
      <c r="M42" s="61">
        <f t="shared" si="33"/>
        <v>0.28714493131305613</v>
      </c>
      <c r="N42" s="62">
        <f>J42*(F36/100)+K42</f>
        <v>2303.45</v>
      </c>
      <c r="O42" s="63">
        <f>O31+E42</f>
        <v>2240</v>
      </c>
      <c r="P42" s="64">
        <f>N42-O42</f>
        <v>63.44999999999982</v>
      </c>
      <c r="Q42" s="65">
        <f>P42/O42</f>
        <v>0.028325892857142775</v>
      </c>
    </row>
    <row r="43" spans="1:17" ht="12.75">
      <c r="A43" s="55" t="s">
        <v>17</v>
      </c>
      <c r="B43" s="66"/>
      <c r="C43" s="57"/>
      <c r="D43" s="71"/>
      <c r="H43" s="58"/>
      <c r="J43" s="58"/>
      <c r="K43" s="59"/>
      <c r="L43" s="60">
        <f t="shared" si="32"/>
        <v>1673</v>
      </c>
      <c r="M43" s="61">
        <f t="shared" si="33"/>
        <v>0.06228360820520457</v>
      </c>
      <c r="N43" s="62"/>
      <c r="O43" s="63"/>
      <c r="P43" s="64"/>
      <c r="Q43" s="65"/>
    </row>
    <row r="44" spans="5:17" ht="12.75">
      <c r="E44" s="38">
        <f>SUM(E36:E43)</f>
        <v>180</v>
      </c>
      <c r="J44" s="66">
        <f>SUM(J36:J43)</f>
        <v>11093</v>
      </c>
      <c r="K44" s="59">
        <f>SUM(K36:K43)</f>
        <v>4.11000000000001</v>
      </c>
      <c r="L44" s="67">
        <f>SUM(L36:L43)</f>
        <v>48889</v>
      </c>
      <c r="M44" s="61">
        <f>SUM(M36:M43)</f>
        <v>1.82007371281784</v>
      </c>
      <c r="N44" s="68">
        <f>SUM(N36:N43)</f>
        <v>12982.919999999998</v>
      </c>
      <c r="O44" s="69">
        <f>SUM(O36:O43)</f>
        <v>12720.28</v>
      </c>
      <c r="P44" s="70">
        <f>SUM(P36:P43)</f>
        <v>262.6399999999994</v>
      </c>
      <c r="Q44" s="65">
        <f>P44/O44</f>
        <v>0.020647344240849998</v>
      </c>
    </row>
  </sheetData>
  <conditionalFormatting sqref="Q11 P2:Q10 Q22 P13:Q21 Q33 P24:Q32 Q44 P35:Q4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84" bottom="0.7" header="0.5118110236220472" footer="0.5118110236220472"/>
  <pageSetup horizontalDpi="300" verticalDpi="300" orientation="landscape" paperSize="9"/>
  <headerFooter alignWithMargins="0">
    <oddHeader>&amp;C&amp;"Arial,Bold"&amp;12Roborough Investment Club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0" zoomScaleNormal="90" workbookViewId="0" topLeftCell="A39">
      <selection activeCell="L67" sqref="L67"/>
    </sheetView>
  </sheetViews>
  <sheetFormatPr defaultColWidth="9.140625" defaultRowHeight="12.75"/>
  <cols>
    <col min="1" max="1" width="21.57421875" style="0" customWidth="1"/>
    <col min="2" max="2" width="9.7109375" style="0" customWidth="1"/>
    <col min="3" max="3" width="8.421875" style="1" customWidth="1"/>
    <col min="4" max="4" width="12.140625" style="0" bestFit="1" customWidth="1"/>
    <col min="5" max="5" width="8.28125" style="1" customWidth="1"/>
    <col min="6" max="6" width="10.421875" style="1" customWidth="1"/>
    <col min="7" max="7" width="12.00390625" style="0" customWidth="1"/>
    <col min="8" max="8" width="14.421875" style="9" customWidth="1"/>
    <col min="9" max="9" width="10.00390625" style="0" bestFit="1" customWidth="1"/>
    <col min="16" max="16" width="9.8515625" style="0" bestFit="1" customWidth="1"/>
  </cols>
  <sheetData>
    <row r="1" ht="12.75">
      <c r="A1" s="3" t="s">
        <v>45</v>
      </c>
    </row>
    <row r="2" spans="1:12" ht="25.5" customHeight="1">
      <c r="A2" s="72" t="s">
        <v>46</v>
      </c>
      <c r="B2" s="72" t="s">
        <v>47</v>
      </c>
      <c r="C2" s="73" t="s">
        <v>48</v>
      </c>
      <c r="D2" s="74" t="s">
        <v>49</v>
      </c>
      <c r="E2" s="73" t="s">
        <v>50</v>
      </c>
      <c r="F2" s="73" t="s">
        <v>51</v>
      </c>
      <c r="G2" s="74" t="s">
        <v>52</v>
      </c>
      <c r="H2" s="73" t="s">
        <v>53</v>
      </c>
      <c r="I2" s="75" t="s">
        <v>54</v>
      </c>
      <c r="J2" s="76"/>
      <c r="K2" s="72"/>
      <c r="L2" s="73" t="s">
        <v>55</v>
      </c>
    </row>
    <row r="3" spans="1:12" ht="12.75">
      <c r="A3" s="72" t="s">
        <v>56</v>
      </c>
      <c r="B3" s="72">
        <v>9825</v>
      </c>
      <c r="C3" s="77">
        <f>D3/B3*100</f>
        <v>10.177201017811704</v>
      </c>
      <c r="D3" s="77">
        <v>999.91</v>
      </c>
      <c r="E3" s="78">
        <v>5.25</v>
      </c>
      <c r="F3" s="79">
        <f aca="true" t="shared" si="0" ref="F3:F11">ROUND(B3*E3/100,2)-12.5</f>
        <v>503.30999999999995</v>
      </c>
      <c r="G3" s="79">
        <f aca="true" t="shared" si="1" ref="G3:G11">F3-D3</f>
        <v>-496.6</v>
      </c>
      <c r="H3" s="80">
        <f aca="true" t="shared" si="2" ref="H3:H11">F3-L3</f>
        <v>24.559999999999945</v>
      </c>
      <c r="I3" s="81">
        <f aca="true" t="shared" si="3" ref="I3:I12">H3/F3</f>
        <v>0.0487969640976733</v>
      </c>
      <c r="K3" s="72"/>
      <c r="L3" s="79">
        <v>478.75</v>
      </c>
    </row>
    <row r="4" spans="1:12" ht="12.75">
      <c r="A4" s="82" t="s">
        <v>57</v>
      </c>
      <c r="B4" s="72">
        <f>242+1758</f>
        <v>2000</v>
      </c>
      <c r="C4" s="77">
        <f>D4/B4*100</f>
        <v>39.128</v>
      </c>
      <c r="D4" s="77">
        <f>515.44+267.12</f>
        <v>782.5600000000001</v>
      </c>
      <c r="E4" s="78">
        <v>9</v>
      </c>
      <c r="F4" s="79">
        <f t="shared" si="0"/>
        <v>167.5</v>
      </c>
      <c r="G4" s="79">
        <f t="shared" si="1"/>
        <v>-615.0600000000001</v>
      </c>
      <c r="H4" s="80">
        <f t="shared" si="2"/>
        <v>-5</v>
      </c>
      <c r="I4" s="81">
        <f t="shared" si="3"/>
        <v>-0.029850746268656716</v>
      </c>
      <c r="K4" s="82"/>
      <c r="L4" s="79">
        <v>172.5</v>
      </c>
    </row>
    <row r="5" spans="1:12" ht="12.75">
      <c r="A5" s="82" t="s">
        <v>58</v>
      </c>
      <c r="B5" s="72">
        <v>143</v>
      </c>
      <c r="C5" s="77">
        <f>D5/B5*100</f>
        <v>424.32867132867125</v>
      </c>
      <c r="D5" s="77">
        <v>606.79</v>
      </c>
      <c r="E5" s="78">
        <v>668</v>
      </c>
      <c r="F5" s="79">
        <f t="shared" si="0"/>
        <v>942.74</v>
      </c>
      <c r="G5" s="79">
        <f t="shared" si="1"/>
        <v>335.95000000000005</v>
      </c>
      <c r="H5" s="80">
        <f t="shared" si="2"/>
        <v>22.879999999999995</v>
      </c>
      <c r="I5" s="81">
        <f t="shared" si="3"/>
        <v>0.02426968199079279</v>
      </c>
      <c r="K5" s="82"/>
      <c r="L5" s="79">
        <v>919.86</v>
      </c>
    </row>
    <row r="6" spans="1:12" ht="12.75">
      <c r="A6" s="82" t="s">
        <v>59</v>
      </c>
      <c r="B6" s="83">
        <v>98</v>
      </c>
      <c r="C6" s="77">
        <f>D6/B6*100</f>
        <v>918.1020408163265</v>
      </c>
      <c r="D6" s="77">
        <v>899.74</v>
      </c>
      <c r="E6" s="78">
        <v>834.5</v>
      </c>
      <c r="F6" s="79">
        <f t="shared" si="0"/>
        <v>805.31</v>
      </c>
      <c r="G6" s="79">
        <f t="shared" si="1"/>
        <v>-94.43000000000006</v>
      </c>
      <c r="H6" s="80">
        <f t="shared" si="2"/>
        <v>-3.9200000000000728</v>
      </c>
      <c r="I6" s="81">
        <f t="shared" si="3"/>
        <v>-0.0048676907029592</v>
      </c>
      <c r="K6" s="82"/>
      <c r="L6" s="79">
        <v>809.23</v>
      </c>
    </row>
    <row r="7" spans="1:12" ht="12.75">
      <c r="A7" s="72" t="s">
        <v>60</v>
      </c>
      <c r="B7" s="72">
        <v>245</v>
      </c>
      <c r="C7" s="77">
        <v>396.8336633663367</v>
      </c>
      <c r="D7" s="84">
        <v>972.2424752475249</v>
      </c>
      <c r="E7" s="78">
        <v>631.5</v>
      </c>
      <c r="F7" s="79">
        <f t="shared" si="0"/>
        <v>1534.68</v>
      </c>
      <c r="G7" s="79">
        <f t="shared" si="1"/>
        <v>562.4375247524752</v>
      </c>
      <c r="H7" s="80">
        <f t="shared" si="2"/>
        <v>68.60000000000014</v>
      </c>
      <c r="I7" s="81">
        <f t="shared" si="3"/>
        <v>0.04469987228607927</v>
      </c>
      <c r="K7" s="72"/>
      <c r="L7" s="79">
        <v>1466.08</v>
      </c>
    </row>
    <row r="8" spans="1:12" ht="12.75">
      <c r="A8" s="72" t="s">
        <v>61</v>
      </c>
      <c r="B8" s="72">
        <v>525</v>
      </c>
      <c r="C8" s="77">
        <f>D8/B8*100</f>
        <v>190.9504761904762</v>
      </c>
      <c r="D8" s="77">
        <v>1002.49</v>
      </c>
      <c r="E8" s="78">
        <v>218</v>
      </c>
      <c r="F8" s="79">
        <f t="shared" si="0"/>
        <v>1132</v>
      </c>
      <c r="G8" s="79">
        <f t="shared" si="1"/>
        <v>129.51</v>
      </c>
      <c r="H8" s="80">
        <f t="shared" si="2"/>
        <v>15.75</v>
      </c>
      <c r="I8" s="81">
        <f t="shared" si="3"/>
        <v>0.013913427561837456</v>
      </c>
      <c r="K8" s="72"/>
      <c r="L8" s="79">
        <v>1116.25</v>
      </c>
    </row>
    <row r="9" spans="1:12" ht="12.75">
      <c r="A9" s="72" t="s">
        <v>26</v>
      </c>
      <c r="B9" s="72">
        <v>150</v>
      </c>
      <c r="C9" s="77">
        <f>D9/B9*100</f>
        <v>678.1666666666666</v>
      </c>
      <c r="D9" s="77">
        <v>1017.25</v>
      </c>
      <c r="E9" s="78">
        <v>977.5</v>
      </c>
      <c r="F9" s="79">
        <f t="shared" si="0"/>
        <v>1453.75</v>
      </c>
      <c r="G9" s="79">
        <f t="shared" si="1"/>
        <v>436.5</v>
      </c>
      <c r="H9" s="80">
        <f t="shared" si="2"/>
        <v>2.25</v>
      </c>
      <c r="I9" s="81">
        <f t="shared" si="3"/>
        <v>0.0015477214101461737</v>
      </c>
      <c r="K9" s="72"/>
      <c r="L9" s="79">
        <v>1451.5</v>
      </c>
    </row>
    <row r="10" spans="1:12" ht="12.75">
      <c r="A10" s="85" t="s">
        <v>62</v>
      </c>
      <c r="B10" s="85">
        <v>234</v>
      </c>
      <c r="C10" s="84">
        <f>D10/B10*100</f>
        <v>434.6153846153846</v>
      </c>
      <c r="D10" s="77">
        <v>1017</v>
      </c>
      <c r="E10" s="78">
        <v>421.25</v>
      </c>
      <c r="F10" s="79">
        <f t="shared" si="0"/>
        <v>973.23</v>
      </c>
      <c r="G10" s="79">
        <f t="shared" si="1"/>
        <v>-43.76999999999998</v>
      </c>
      <c r="H10" s="80">
        <f t="shared" si="2"/>
        <v>30.420000000000073</v>
      </c>
      <c r="I10" s="81">
        <f t="shared" si="3"/>
        <v>0.031256743010388166</v>
      </c>
      <c r="K10" s="85"/>
      <c r="L10" s="79">
        <v>942.81</v>
      </c>
    </row>
    <row r="11" spans="1:12" ht="12.75">
      <c r="A11" s="85" t="s">
        <v>63</v>
      </c>
      <c r="B11" s="86">
        <v>109</v>
      </c>
      <c r="C11" s="84">
        <f>D11/B11*100</f>
        <v>825.4128440366973</v>
      </c>
      <c r="D11" s="87">
        <v>899.7</v>
      </c>
      <c r="E11" s="30">
        <v>847.5</v>
      </c>
      <c r="F11" s="88">
        <f t="shared" si="0"/>
        <v>911.28</v>
      </c>
      <c r="G11" s="88">
        <f t="shared" si="1"/>
        <v>11.579999999999927</v>
      </c>
      <c r="H11" s="80">
        <f t="shared" si="2"/>
        <v>-101.91000000000008</v>
      </c>
      <c r="I11" s="81">
        <f t="shared" si="3"/>
        <v>-0.11183170924414021</v>
      </c>
      <c r="K11" s="85"/>
      <c r="L11" s="79">
        <v>1013.19</v>
      </c>
    </row>
    <row r="12" spans="3:9" ht="13.5" customHeight="1" thickBot="1">
      <c r="C12" s="5"/>
      <c r="D12" s="33">
        <f>SUM(D3:D11)</f>
        <v>8197.682475247526</v>
      </c>
      <c r="E12" s="33"/>
      <c r="F12" s="33">
        <f>SUM(F3:F11)</f>
        <v>8423.800000000001</v>
      </c>
      <c r="G12" s="33">
        <f>SUM(G3:G11)</f>
        <v>226.117524752475</v>
      </c>
      <c r="H12" s="89">
        <f>SUM(H3:H11)</f>
        <v>53.629999999999995</v>
      </c>
      <c r="I12" s="90">
        <f t="shared" si="3"/>
        <v>0.006366485434127114</v>
      </c>
    </row>
    <row r="13" ht="13.5" customHeight="1" thickTop="1"/>
    <row r="14" spans="1:6" ht="12.75">
      <c r="A14" t="s">
        <v>64</v>
      </c>
      <c r="F14" s="1">
        <f>F12</f>
        <v>8423.800000000001</v>
      </c>
    </row>
    <row r="15" spans="2:6" ht="13.5" customHeight="1">
      <c r="B15" t="s">
        <v>65</v>
      </c>
      <c r="F15" s="1">
        <f>Cash!N10</f>
        <v>274.37</v>
      </c>
    </row>
    <row r="16" spans="2:9" ht="13.5" customHeight="1" thickBot="1">
      <c r="B16" t="s">
        <v>66</v>
      </c>
      <c r="F16" s="33">
        <f>Cash!N12</f>
        <v>7211.82</v>
      </c>
      <c r="G16" s="1"/>
      <c r="H16" s="91" t="s">
        <v>67</v>
      </c>
      <c r="I16" s="92"/>
    </row>
    <row r="17" spans="6:9" ht="13.5" customHeight="1" thickTop="1">
      <c r="F17" s="1">
        <f>SUM(F14:F16)</f>
        <v>15909.990000000002</v>
      </c>
      <c r="H17" s="93"/>
      <c r="I17" s="36"/>
    </row>
    <row r="18" spans="8:9" ht="12.75">
      <c r="H18" s="93" t="s">
        <v>68</v>
      </c>
      <c r="I18" s="25">
        <f>F23</f>
        <v>15909.490000000002</v>
      </c>
    </row>
    <row r="19" spans="1:9" ht="12.75">
      <c r="A19" t="s">
        <v>69</v>
      </c>
      <c r="B19" t="s">
        <v>70</v>
      </c>
      <c r="E19" s="1">
        <f>Cash!L14</f>
        <v>0</v>
      </c>
      <c r="H19" s="93" t="s">
        <v>71</v>
      </c>
      <c r="I19" s="58">
        <f>Units!J11</f>
        <v>14173</v>
      </c>
    </row>
    <row r="20" spans="2:9" ht="12.75">
      <c r="B20" t="s">
        <v>72</v>
      </c>
      <c r="E20" s="1">
        <v>0</v>
      </c>
      <c r="H20" s="94" t="s">
        <v>73</v>
      </c>
      <c r="I20" s="95">
        <f>ROUND(I18/I19,2)*100</f>
        <v>112.00000000000001</v>
      </c>
    </row>
    <row r="21" spans="2:8" ht="12.75">
      <c r="B21" t="s">
        <v>74</v>
      </c>
      <c r="E21" s="1">
        <v>0.5</v>
      </c>
      <c r="H21" s="96"/>
    </row>
    <row r="22" ht="12.75">
      <c r="F22" s="1">
        <f>SUM(E19:E21)</f>
        <v>0.5</v>
      </c>
    </row>
    <row r="23" spans="1:6" ht="12.75">
      <c r="A23" t="s">
        <v>75</v>
      </c>
      <c r="F23" s="97">
        <f>F17-F22</f>
        <v>15909.490000000002</v>
      </c>
    </row>
    <row r="25" ht="12.75">
      <c r="A25" s="3" t="s">
        <v>176</v>
      </c>
    </row>
    <row r="26" spans="1:9" ht="25.5">
      <c r="A26" s="72" t="s">
        <v>46</v>
      </c>
      <c r="B26" s="72" t="s">
        <v>47</v>
      </c>
      <c r="C26" s="73" t="s">
        <v>48</v>
      </c>
      <c r="D26" s="74" t="s">
        <v>49</v>
      </c>
      <c r="E26" s="73" t="s">
        <v>50</v>
      </c>
      <c r="F26" s="73" t="s">
        <v>51</v>
      </c>
      <c r="G26" s="74" t="s">
        <v>52</v>
      </c>
      <c r="H26" s="73" t="s">
        <v>53</v>
      </c>
      <c r="I26" s="75" t="s">
        <v>54</v>
      </c>
    </row>
    <row r="27" spans="1:9" ht="12.75">
      <c r="A27" s="72" t="s">
        <v>56</v>
      </c>
      <c r="B27" s="72">
        <v>9825</v>
      </c>
      <c r="C27" s="77">
        <f>D27/B27*100</f>
        <v>10.177201017811704</v>
      </c>
      <c r="D27" s="77">
        <v>999.91</v>
      </c>
      <c r="E27">
        <v>3.75</v>
      </c>
      <c r="F27" s="79">
        <f aca="true" t="shared" si="4" ref="F27:F36">ROUND(B27*E27/100,2)-12.5</f>
        <v>355.94</v>
      </c>
      <c r="G27" s="79">
        <f aca="true" t="shared" si="5" ref="G27:G36">F27-D27</f>
        <v>-643.97</v>
      </c>
      <c r="H27" s="80">
        <f>F27-F3</f>
        <v>-147.36999999999995</v>
      </c>
      <c r="I27" s="81">
        <f aca="true" t="shared" si="6" ref="I27:I37">H27/F27</f>
        <v>-0.41403045457099497</v>
      </c>
    </row>
    <row r="28" spans="1:9" ht="12.75">
      <c r="A28" s="82" t="s">
        <v>57</v>
      </c>
      <c r="B28" s="72">
        <f>242+1758</f>
        <v>2000</v>
      </c>
      <c r="C28" s="77">
        <f>D28/B28*100</f>
        <v>39.128</v>
      </c>
      <c r="D28" s="77">
        <f>515.44+267.12</f>
        <v>782.5600000000001</v>
      </c>
      <c r="E28">
        <v>9</v>
      </c>
      <c r="F28" s="79">
        <f t="shared" si="4"/>
        <v>167.5</v>
      </c>
      <c r="G28" s="79">
        <f t="shared" si="5"/>
        <v>-615.0600000000001</v>
      </c>
      <c r="H28" s="80">
        <f aca="true" t="shared" si="7" ref="H28:H35">F28-F4</f>
        <v>0</v>
      </c>
      <c r="I28" s="81">
        <f t="shared" si="6"/>
        <v>0</v>
      </c>
    </row>
    <row r="29" spans="1:9" ht="12.75">
      <c r="A29" s="82" t="s">
        <v>58</v>
      </c>
      <c r="B29" s="72">
        <v>143</v>
      </c>
      <c r="C29" s="77">
        <f>D29/B29*100</f>
        <v>424.32867132867125</v>
      </c>
      <c r="D29" s="77">
        <v>606.79</v>
      </c>
      <c r="E29">
        <v>640</v>
      </c>
      <c r="F29" s="79">
        <f t="shared" si="4"/>
        <v>902.7</v>
      </c>
      <c r="G29" s="79">
        <f t="shared" si="5"/>
        <v>295.9100000000001</v>
      </c>
      <c r="H29" s="80">
        <f t="shared" si="7"/>
        <v>-40.039999999999964</v>
      </c>
      <c r="I29" s="81">
        <f t="shared" si="6"/>
        <v>-0.044355821424615</v>
      </c>
    </row>
    <row r="30" spans="1:9" ht="12.75">
      <c r="A30" s="82" t="s">
        <v>59</v>
      </c>
      <c r="B30" s="83">
        <v>98</v>
      </c>
      <c r="C30" s="77">
        <f>D30/B30*100</f>
        <v>918.1020408163265</v>
      </c>
      <c r="D30" s="77">
        <v>899.74</v>
      </c>
      <c r="E30">
        <v>868</v>
      </c>
      <c r="F30" s="79">
        <f t="shared" si="4"/>
        <v>838.14</v>
      </c>
      <c r="G30" s="79">
        <f t="shared" si="5"/>
        <v>-61.60000000000002</v>
      </c>
      <c r="H30" s="80">
        <f t="shared" si="7"/>
        <v>32.83000000000004</v>
      </c>
      <c r="I30" s="81">
        <f t="shared" si="6"/>
        <v>0.03917006705323698</v>
      </c>
    </row>
    <row r="31" spans="1:9" ht="12.75">
      <c r="A31" s="72" t="s">
        <v>60</v>
      </c>
      <c r="B31" s="72">
        <v>245</v>
      </c>
      <c r="C31" s="77">
        <v>396.8336633663367</v>
      </c>
      <c r="D31" s="84">
        <v>972.2424752475249</v>
      </c>
      <c r="E31">
        <v>641.5</v>
      </c>
      <c r="F31" s="79">
        <f t="shared" si="4"/>
        <v>1559.18</v>
      </c>
      <c r="G31" s="79">
        <f t="shared" si="5"/>
        <v>586.9375247524752</v>
      </c>
      <c r="H31" s="80">
        <f t="shared" si="7"/>
        <v>24.5</v>
      </c>
      <c r="I31" s="81">
        <f t="shared" si="6"/>
        <v>0.01571338780641106</v>
      </c>
    </row>
    <row r="32" spans="1:9" ht="12.75">
      <c r="A32" s="72" t="s">
        <v>61</v>
      </c>
      <c r="B32" s="72">
        <v>525</v>
      </c>
      <c r="C32" s="77">
        <f>D32/B32*100</f>
        <v>190.9504761904762</v>
      </c>
      <c r="D32" s="77">
        <v>1002.49</v>
      </c>
      <c r="E32">
        <v>220</v>
      </c>
      <c r="F32" s="79">
        <f t="shared" si="4"/>
        <v>1142.5</v>
      </c>
      <c r="G32" s="79">
        <f t="shared" si="5"/>
        <v>140.01</v>
      </c>
      <c r="H32" s="80">
        <f t="shared" si="7"/>
        <v>10.5</v>
      </c>
      <c r="I32" s="81">
        <f t="shared" si="6"/>
        <v>0.009190371991247264</v>
      </c>
    </row>
    <row r="33" spans="1:9" ht="12.75">
      <c r="A33" s="72" t="s">
        <v>26</v>
      </c>
      <c r="B33" s="72">
        <v>150</v>
      </c>
      <c r="C33" s="77">
        <f>D33/B33*100</f>
        <v>678.1666666666666</v>
      </c>
      <c r="D33" s="77">
        <v>1017.25</v>
      </c>
      <c r="E33">
        <v>1007.5</v>
      </c>
      <c r="F33" s="79">
        <f t="shared" si="4"/>
        <v>1498.75</v>
      </c>
      <c r="G33" s="79">
        <f t="shared" si="5"/>
        <v>481.5</v>
      </c>
      <c r="H33" s="80">
        <f t="shared" si="7"/>
        <v>45</v>
      </c>
      <c r="I33" s="81">
        <f t="shared" si="6"/>
        <v>0.030025020850708923</v>
      </c>
    </row>
    <row r="34" spans="1:9" ht="12.75">
      <c r="A34" s="85" t="s">
        <v>62</v>
      </c>
      <c r="B34" s="85">
        <v>234</v>
      </c>
      <c r="C34" s="84">
        <f>D34/B34*100</f>
        <v>434.6153846153846</v>
      </c>
      <c r="D34" s="77">
        <v>1017</v>
      </c>
      <c r="E34">
        <v>463.12</v>
      </c>
      <c r="F34" s="79">
        <f t="shared" si="4"/>
        <v>1071.2</v>
      </c>
      <c r="G34" s="79">
        <f t="shared" si="5"/>
        <v>54.200000000000045</v>
      </c>
      <c r="H34" s="80">
        <f t="shared" si="7"/>
        <v>97.97000000000003</v>
      </c>
      <c r="I34" s="81">
        <f t="shared" si="6"/>
        <v>0.09145817774458553</v>
      </c>
    </row>
    <row r="35" spans="1:9" ht="12.75">
      <c r="A35" s="85" t="s">
        <v>63</v>
      </c>
      <c r="B35" s="86">
        <v>93</v>
      </c>
      <c r="C35" s="84">
        <f>D35/B35*100</f>
        <v>967.4193548387096</v>
      </c>
      <c r="D35" s="5">
        <v>899.7</v>
      </c>
      <c r="E35" s="4">
        <v>835</v>
      </c>
      <c r="F35" s="79">
        <f t="shared" si="4"/>
        <v>764.05</v>
      </c>
      <c r="G35" s="79">
        <f t="shared" si="5"/>
        <v>-135.6500000000001</v>
      </c>
      <c r="H35" s="80">
        <f t="shared" si="7"/>
        <v>-147.23000000000002</v>
      </c>
      <c r="I35" s="81">
        <f t="shared" si="6"/>
        <v>-0.1926968130357961</v>
      </c>
    </row>
    <row r="36" spans="1:9" ht="12.75">
      <c r="A36" t="s">
        <v>186</v>
      </c>
      <c r="B36" s="166">
        <v>393</v>
      </c>
      <c r="C36" s="84">
        <f>D36/B36*100</f>
        <v>507.6895674300254</v>
      </c>
      <c r="D36" s="87">
        <v>1995.22</v>
      </c>
      <c r="E36" s="30">
        <v>497</v>
      </c>
      <c r="F36" s="88">
        <f t="shared" si="4"/>
        <v>1940.71</v>
      </c>
      <c r="G36" s="88">
        <f t="shared" si="5"/>
        <v>-54.50999999999999</v>
      </c>
      <c r="H36" s="80">
        <f>G36</f>
        <v>-54.50999999999999</v>
      </c>
      <c r="I36" s="81">
        <f t="shared" si="6"/>
        <v>-0.02808765864039449</v>
      </c>
    </row>
    <row r="37" spans="3:9" ht="13.5" thickBot="1">
      <c r="C37" s="5"/>
      <c r="D37" s="33">
        <f>SUM(D27:D36)</f>
        <v>10192.902475247525</v>
      </c>
      <c r="E37" s="33"/>
      <c r="F37" s="33">
        <f>SUM(F27:F36)</f>
        <v>10240.669999999998</v>
      </c>
      <c r="G37" s="33">
        <f>SUM(G27:G36)</f>
        <v>47.767524752474856</v>
      </c>
      <c r="H37" s="89">
        <f>SUM(H27:H36)</f>
        <v>-178.34999999999985</v>
      </c>
      <c r="I37" s="90">
        <f t="shared" si="6"/>
        <v>-0.017415852673702003</v>
      </c>
    </row>
    <row r="38" ht="13.5" thickTop="1"/>
    <row r="39" spans="1:6" ht="12.75">
      <c r="A39" t="s">
        <v>64</v>
      </c>
      <c r="F39" s="1">
        <f>F37</f>
        <v>10240.669999999998</v>
      </c>
    </row>
    <row r="40" spans="2:6" ht="12.75">
      <c r="B40" t="s">
        <v>65</v>
      </c>
      <c r="F40" s="1">
        <f>Cash!N32</f>
        <v>8.87</v>
      </c>
    </row>
    <row r="41" spans="2:9" ht="13.5" thickBot="1">
      <c r="B41" t="s">
        <v>66</v>
      </c>
      <c r="F41" s="33">
        <f>Cash!N35</f>
        <v>4066.0299999999993</v>
      </c>
      <c r="G41" s="1"/>
      <c r="H41" s="91" t="s">
        <v>67</v>
      </c>
      <c r="I41" s="92"/>
    </row>
    <row r="42" spans="6:9" ht="13.5" thickTop="1">
      <c r="F42" s="1">
        <f>SUM(F39:F41)</f>
        <v>14315.569999999998</v>
      </c>
      <c r="H42" s="93"/>
      <c r="I42" s="36"/>
    </row>
    <row r="43" spans="8:9" ht="12.75">
      <c r="H43" s="93" t="s">
        <v>68</v>
      </c>
      <c r="I43" s="25">
        <f>F48</f>
        <v>14314.819999999998</v>
      </c>
    </row>
    <row r="44" spans="1:9" ht="12.75">
      <c r="A44" t="s">
        <v>69</v>
      </c>
      <c r="B44" t="s">
        <v>70</v>
      </c>
      <c r="E44" s="1">
        <f>Cash!L39</f>
        <v>0</v>
      </c>
      <c r="H44" s="93" t="s">
        <v>71</v>
      </c>
      <c r="I44" s="58">
        <f>Units!J22</f>
        <v>12688</v>
      </c>
    </row>
    <row r="45" spans="2:9" ht="12.75">
      <c r="B45" t="s">
        <v>72</v>
      </c>
      <c r="E45" s="1">
        <v>0</v>
      </c>
      <c r="H45" s="94" t="s">
        <v>73</v>
      </c>
      <c r="I45" s="95">
        <f>ROUND(I43/I44,2)*100</f>
        <v>112.99999999999999</v>
      </c>
    </row>
    <row r="46" spans="2:8" ht="12.75">
      <c r="B46" t="s">
        <v>74</v>
      </c>
      <c r="E46" s="1">
        <v>0.75</v>
      </c>
      <c r="H46" s="96"/>
    </row>
    <row r="47" ht="12.75">
      <c r="F47" s="1">
        <f>SUM(E44:E46)</f>
        <v>0.75</v>
      </c>
    </row>
    <row r="48" spans="1:6" ht="12.75">
      <c r="A48" t="s">
        <v>75</v>
      </c>
      <c r="F48" s="97">
        <f>F42-F47</f>
        <v>14314.819999999998</v>
      </c>
    </row>
    <row r="50" ht="12.75">
      <c r="A50" s="3" t="s">
        <v>208</v>
      </c>
    </row>
    <row r="51" spans="1:9" ht="25.5">
      <c r="A51" s="72" t="s">
        <v>46</v>
      </c>
      <c r="B51" s="72" t="s">
        <v>47</v>
      </c>
      <c r="C51" s="73" t="s">
        <v>48</v>
      </c>
      <c r="D51" s="74" t="s">
        <v>49</v>
      </c>
      <c r="E51" s="73" t="s">
        <v>50</v>
      </c>
      <c r="F51" s="73" t="s">
        <v>51</v>
      </c>
      <c r="G51" s="74" t="s">
        <v>52</v>
      </c>
      <c r="H51" s="73" t="s">
        <v>53</v>
      </c>
      <c r="I51" s="75" t="s">
        <v>54</v>
      </c>
    </row>
    <row r="52" spans="1:9" ht="12.75">
      <c r="A52" s="72" t="s">
        <v>56</v>
      </c>
      <c r="B52" s="72">
        <v>9825</v>
      </c>
      <c r="C52" s="77">
        <f>D52/B52*100</f>
        <v>10.177201017811704</v>
      </c>
      <c r="D52" s="77">
        <v>999.91</v>
      </c>
      <c r="E52" s="79">
        <v>3.5</v>
      </c>
      <c r="F52" s="79">
        <f aca="true" t="shared" si="8" ref="F52:F60">ROUND(B52*E52/100,2)-12.5</f>
        <v>331.38</v>
      </c>
      <c r="G52" s="79">
        <f aca="true" t="shared" si="9" ref="G52:G60">F52-D52</f>
        <v>-668.53</v>
      </c>
      <c r="H52" s="80">
        <f>F52-F27</f>
        <v>-24.560000000000002</v>
      </c>
      <c r="I52" s="81">
        <f aca="true" t="shared" si="10" ref="I52:I61">H52/F52</f>
        <v>-0.07411430985575473</v>
      </c>
    </row>
    <row r="53" spans="1:9" ht="12.75">
      <c r="A53" s="82" t="s">
        <v>58</v>
      </c>
      <c r="B53" s="72">
        <v>143</v>
      </c>
      <c r="C53" s="77">
        <f>D53/B53*100</f>
        <v>424.32867132867125</v>
      </c>
      <c r="D53" s="77">
        <v>606.79</v>
      </c>
      <c r="E53" s="79">
        <v>675</v>
      </c>
      <c r="F53" s="79">
        <f t="shared" si="8"/>
        <v>952.75</v>
      </c>
      <c r="G53" s="79">
        <f t="shared" si="9"/>
        <v>345.96000000000004</v>
      </c>
      <c r="H53" s="80">
        <f aca="true" t="shared" si="11" ref="H53:H60">F53-F29</f>
        <v>50.049999999999955</v>
      </c>
      <c r="I53" s="81">
        <f t="shared" si="10"/>
        <v>0.052532143794279666</v>
      </c>
    </row>
    <row r="54" spans="1:9" ht="12.75">
      <c r="A54" s="82" t="s">
        <v>59</v>
      </c>
      <c r="B54" s="83">
        <v>98</v>
      </c>
      <c r="C54" s="77">
        <f>D54/B54*100</f>
        <v>918.1020408163265</v>
      </c>
      <c r="D54" s="77">
        <v>899.74</v>
      </c>
      <c r="E54" s="79">
        <v>896</v>
      </c>
      <c r="F54" s="79">
        <f t="shared" si="8"/>
        <v>865.58</v>
      </c>
      <c r="G54" s="79">
        <f t="shared" si="9"/>
        <v>-34.15999999999997</v>
      </c>
      <c r="H54" s="80">
        <f t="shared" si="11"/>
        <v>27.440000000000055</v>
      </c>
      <c r="I54" s="81">
        <f t="shared" si="10"/>
        <v>0.03170128699831333</v>
      </c>
    </row>
    <row r="55" spans="1:9" ht="12.75">
      <c r="A55" s="72" t="s">
        <v>60</v>
      </c>
      <c r="B55" s="72">
        <v>245</v>
      </c>
      <c r="C55" s="77">
        <v>396.8336633663367</v>
      </c>
      <c r="D55" s="84">
        <v>972.2424752475249</v>
      </c>
      <c r="E55" s="79">
        <v>695.5</v>
      </c>
      <c r="F55" s="79">
        <f t="shared" si="8"/>
        <v>1691.48</v>
      </c>
      <c r="G55" s="79">
        <f t="shared" si="9"/>
        <v>719.2375247524751</v>
      </c>
      <c r="H55" s="80">
        <f t="shared" si="11"/>
        <v>132.29999999999995</v>
      </c>
      <c r="I55" s="81">
        <f t="shared" si="10"/>
        <v>0.07821552723059093</v>
      </c>
    </row>
    <row r="56" spans="1:9" ht="12.75">
      <c r="A56" s="72" t="s">
        <v>61</v>
      </c>
      <c r="B56" s="72">
        <v>525</v>
      </c>
      <c r="C56" s="77">
        <f>D56/B56*100</f>
        <v>190.9504761904762</v>
      </c>
      <c r="D56" s="77">
        <v>1002.49</v>
      </c>
      <c r="E56" s="79">
        <v>222</v>
      </c>
      <c r="F56" s="79">
        <f t="shared" si="8"/>
        <v>1153</v>
      </c>
      <c r="G56" s="79">
        <f t="shared" si="9"/>
        <v>150.51</v>
      </c>
      <c r="H56" s="80">
        <f t="shared" si="11"/>
        <v>10.5</v>
      </c>
      <c r="I56" s="81">
        <f t="shared" si="10"/>
        <v>0.009106678230702514</v>
      </c>
    </row>
    <row r="57" spans="1:9" ht="12.75">
      <c r="A57" s="72" t="s">
        <v>26</v>
      </c>
      <c r="B57" s="72">
        <v>150</v>
      </c>
      <c r="C57" s="77">
        <f>D57/B57*100</f>
        <v>678.1666666666666</v>
      </c>
      <c r="D57" s="77">
        <v>1017.25</v>
      </c>
      <c r="E57" s="79">
        <v>1048</v>
      </c>
      <c r="F57" s="79">
        <f t="shared" si="8"/>
        <v>1559.5</v>
      </c>
      <c r="G57" s="79">
        <f t="shared" si="9"/>
        <v>542.25</v>
      </c>
      <c r="H57" s="80">
        <f t="shared" si="11"/>
        <v>60.75</v>
      </c>
      <c r="I57" s="81">
        <f t="shared" si="10"/>
        <v>0.038954793202949665</v>
      </c>
    </row>
    <row r="58" spans="1:9" ht="12.75">
      <c r="A58" s="85" t="s">
        <v>62</v>
      </c>
      <c r="B58" s="85">
        <v>234</v>
      </c>
      <c r="C58" s="84">
        <f>D58/B58*100</f>
        <v>434.6153846153846</v>
      </c>
      <c r="D58" s="77">
        <v>1017</v>
      </c>
      <c r="E58" s="79">
        <v>503.5</v>
      </c>
      <c r="F58" s="79">
        <f t="shared" si="8"/>
        <v>1165.69</v>
      </c>
      <c r="G58" s="79">
        <f t="shared" si="9"/>
        <v>148.69000000000005</v>
      </c>
      <c r="H58" s="80">
        <f t="shared" si="11"/>
        <v>94.49000000000001</v>
      </c>
      <c r="I58" s="81">
        <f t="shared" si="10"/>
        <v>0.08105928677435682</v>
      </c>
    </row>
    <row r="59" spans="1:9" ht="12.75">
      <c r="A59" s="85" t="s">
        <v>63</v>
      </c>
      <c r="B59" s="86">
        <v>93</v>
      </c>
      <c r="C59" s="84">
        <f>D59/B59*100</f>
        <v>967.4193548387096</v>
      </c>
      <c r="D59" s="5">
        <v>899.7</v>
      </c>
      <c r="E59" s="79">
        <v>835.5</v>
      </c>
      <c r="F59" s="79">
        <f t="shared" si="8"/>
        <v>764.52</v>
      </c>
      <c r="G59" s="79">
        <f t="shared" si="9"/>
        <v>-135.18000000000006</v>
      </c>
      <c r="H59" s="80">
        <f t="shared" si="11"/>
        <v>0.4700000000000273</v>
      </c>
      <c r="I59" s="81">
        <f t="shared" si="10"/>
        <v>0.0006147648197562226</v>
      </c>
    </row>
    <row r="60" spans="1:9" ht="12.75">
      <c r="A60" t="s">
        <v>186</v>
      </c>
      <c r="B60" s="166">
        <v>393</v>
      </c>
      <c r="C60" s="84">
        <f>D60/B60*100</f>
        <v>507.6895674300254</v>
      </c>
      <c r="D60" s="87">
        <v>1995.22</v>
      </c>
      <c r="E60" s="88">
        <v>507</v>
      </c>
      <c r="F60" s="88">
        <f t="shared" si="8"/>
        <v>1980.01</v>
      </c>
      <c r="G60" s="88">
        <f t="shared" si="9"/>
        <v>-15.210000000000036</v>
      </c>
      <c r="H60" s="80">
        <f t="shared" si="11"/>
        <v>39.299999999999955</v>
      </c>
      <c r="I60" s="81">
        <f t="shared" si="10"/>
        <v>0.019848384604118138</v>
      </c>
    </row>
    <row r="61" spans="3:9" ht="13.5" thickBot="1">
      <c r="C61" s="5"/>
      <c r="D61" s="33">
        <f>SUM(D52:D60)</f>
        <v>9410.342475247524</v>
      </c>
      <c r="E61" s="33"/>
      <c r="F61" s="33">
        <f>SUM(F52:F60)</f>
        <v>10463.910000000002</v>
      </c>
      <c r="G61" s="33">
        <f>SUM(G52:G60)</f>
        <v>1053.5675247524753</v>
      </c>
      <c r="H61" s="89">
        <f>SUM(H52:H60)</f>
        <v>390.73999999999995</v>
      </c>
      <c r="I61" s="90">
        <f t="shared" si="10"/>
        <v>0.037341682028992976</v>
      </c>
    </row>
    <row r="62" ht="13.5" thickTop="1"/>
    <row r="63" spans="1:6" ht="12.75">
      <c r="A63" t="s">
        <v>64</v>
      </c>
      <c r="F63" s="1">
        <f>F61</f>
        <v>10463.910000000002</v>
      </c>
    </row>
    <row r="64" spans="2:6" ht="12.75">
      <c r="B64" t="s">
        <v>65</v>
      </c>
      <c r="F64" s="1">
        <f>'Lloyd TSB'!F50</f>
        <v>124.67</v>
      </c>
    </row>
    <row r="65" spans="2:9" ht="13.5" thickBot="1">
      <c r="B65" t="s">
        <v>66</v>
      </c>
      <c r="F65" s="33">
        <f>Comdirect!H32</f>
        <v>2151.6799999999994</v>
      </c>
      <c r="G65" s="1"/>
      <c r="H65" s="91" t="s">
        <v>67</v>
      </c>
      <c r="I65" s="92"/>
    </row>
    <row r="66" spans="6:9" ht="13.5" thickTop="1">
      <c r="F66" s="1">
        <f>SUM(F63:F65)</f>
        <v>12740.260000000002</v>
      </c>
      <c r="H66" s="93"/>
      <c r="I66" s="36"/>
    </row>
    <row r="67" spans="8:9" ht="12.75">
      <c r="H67" s="93" t="s">
        <v>68</v>
      </c>
      <c r="I67" s="25">
        <f>F72</f>
        <v>12739.510000000002</v>
      </c>
    </row>
    <row r="68" spans="1:9" ht="12.75">
      <c r="A68" t="s">
        <v>69</v>
      </c>
      <c r="B68" t="s">
        <v>70</v>
      </c>
      <c r="E68" s="1">
        <v>0</v>
      </c>
      <c r="H68" s="93" t="s">
        <v>71</v>
      </c>
      <c r="I68" s="58">
        <f>Units!J33</f>
        <v>10935</v>
      </c>
    </row>
    <row r="69" spans="2:9" ht="12.75">
      <c r="B69" t="s">
        <v>72</v>
      </c>
      <c r="E69" s="1">
        <v>0</v>
      </c>
      <c r="H69" s="94" t="s">
        <v>73</v>
      </c>
      <c r="I69" s="95">
        <f>ROUND(I67/I68,2)*100</f>
        <v>117</v>
      </c>
    </row>
    <row r="70" spans="2:8" ht="12.75">
      <c r="B70" t="s">
        <v>74</v>
      </c>
      <c r="E70" s="1">
        <v>0.75</v>
      </c>
      <c r="H70" s="96"/>
    </row>
    <row r="71" ht="12.75">
      <c r="F71" s="1">
        <f>SUM(E68:E70)</f>
        <v>0.75</v>
      </c>
    </row>
    <row r="72" spans="1:6" ht="12.75">
      <c r="A72" t="s">
        <v>75</v>
      </c>
      <c r="F72" s="97">
        <f>F66-F71</f>
        <v>12739.510000000002</v>
      </c>
    </row>
  </sheetData>
  <printOptions/>
  <pageMargins left="0.7480314960629921" right="0.7480314960629921" top="0.8" bottom="0.61" header="0.5118110236220472" footer="0.5118110236220472"/>
  <pageSetup horizontalDpi="300" verticalDpi="300" orientation="landscape" paperSize="9" r:id="rId2"/>
  <headerFooter alignWithMargins="0">
    <oddHeader>&amp;C&amp;"Arial,Bold"&amp;12Roborough Investment Club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9.8515625" style="98" bestFit="1" customWidth="1"/>
    <col min="2" max="2" width="22.140625" style="98" customWidth="1"/>
    <col min="3" max="3" width="8.57421875" style="98" customWidth="1"/>
    <col min="4" max="4" width="9.28125" style="98" customWidth="1"/>
    <col min="5" max="5" width="10.28125" style="98" customWidth="1"/>
    <col min="6" max="6" width="8.00390625" style="98" customWidth="1"/>
    <col min="7" max="7" width="9.8515625" style="98" customWidth="1"/>
    <col min="8" max="8" width="8.57421875" style="98" bestFit="1" customWidth="1"/>
    <col min="9" max="9" width="7.7109375" style="98" bestFit="1" customWidth="1"/>
    <col min="10" max="10" width="7.57421875" style="98" customWidth="1"/>
    <col min="11" max="11" width="8.57421875" style="98" bestFit="1" customWidth="1"/>
    <col min="12" max="12" width="8.421875" style="98" bestFit="1" customWidth="1"/>
    <col min="13" max="13" width="10.140625" style="98" customWidth="1"/>
    <col min="14" max="16384" width="9.140625" style="98" customWidth="1"/>
  </cols>
  <sheetData>
    <row r="1" spans="1:2" ht="20.25" customHeight="1">
      <c r="A1" s="99" t="s">
        <v>76</v>
      </c>
      <c r="B1" s="100"/>
    </row>
    <row r="3" spans="1:8" ht="12.75">
      <c r="A3" s="100" t="s">
        <v>77</v>
      </c>
      <c r="B3" s="100"/>
      <c r="G3" s="101" t="s">
        <v>78</v>
      </c>
      <c r="H3" s="100"/>
    </row>
    <row r="4" spans="1:14" ht="25.5" customHeight="1">
      <c r="A4" s="102" t="s">
        <v>2</v>
      </c>
      <c r="B4" s="102" t="s">
        <v>79</v>
      </c>
      <c r="C4" s="103" t="s">
        <v>80</v>
      </c>
      <c r="D4" s="103" t="s">
        <v>81</v>
      </c>
      <c r="E4" s="104" t="s">
        <v>82</v>
      </c>
      <c r="F4" s="104" t="s">
        <v>83</v>
      </c>
      <c r="G4" s="105" t="s">
        <v>2</v>
      </c>
      <c r="H4" s="103" t="s">
        <v>80</v>
      </c>
      <c r="I4" s="106" t="s">
        <v>81</v>
      </c>
      <c r="J4" s="104" t="s">
        <v>84</v>
      </c>
      <c r="K4" s="104" t="s">
        <v>83</v>
      </c>
      <c r="L4" s="103" t="s">
        <v>43</v>
      </c>
      <c r="M4" s="100"/>
      <c r="N4" s="100"/>
    </row>
    <row r="5" spans="1:12" ht="12.75">
      <c r="A5" s="107">
        <v>36510</v>
      </c>
      <c r="B5" s="78" t="s">
        <v>57</v>
      </c>
      <c r="C5" s="108">
        <v>242</v>
      </c>
      <c r="D5" s="109">
        <v>207</v>
      </c>
      <c r="E5" s="109">
        <f aca="true" t="shared" si="0" ref="E5:E14">ROUND(C5*D5/100,2)</f>
        <v>500.94</v>
      </c>
      <c r="F5" s="109">
        <v>14.5</v>
      </c>
      <c r="G5" s="110">
        <v>38523</v>
      </c>
      <c r="H5" s="111">
        <f>C5</f>
        <v>242</v>
      </c>
      <c r="I5" s="109">
        <v>8.83</v>
      </c>
      <c r="J5" s="109">
        <f>H5*I5/100</f>
        <v>21.3686</v>
      </c>
      <c r="K5" s="109">
        <f>J5-L5</f>
        <v>1.5125000000000028</v>
      </c>
      <c r="L5" s="109">
        <f>164.1*H5/2000</f>
        <v>19.856099999999998</v>
      </c>
    </row>
    <row r="6" spans="1:12" ht="12.75">
      <c r="A6" s="107">
        <v>37596</v>
      </c>
      <c r="B6" s="78" t="s">
        <v>57</v>
      </c>
      <c r="C6" s="108">
        <v>1758</v>
      </c>
      <c r="D6" s="109">
        <v>14.44</v>
      </c>
      <c r="E6" s="109">
        <f t="shared" si="0"/>
        <v>253.86</v>
      </c>
      <c r="F6" s="109">
        <f>12+1.27</f>
        <v>13.27</v>
      </c>
      <c r="G6" s="110">
        <v>38523</v>
      </c>
      <c r="H6" s="111">
        <f>C6</f>
        <v>1758</v>
      </c>
      <c r="I6" s="109">
        <f>I5</f>
        <v>8.83</v>
      </c>
      <c r="J6" s="109">
        <f>H6*I6/100</f>
        <v>155.2314</v>
      </c>
      <c r="K6" s="109">
        <f>J6-L6</f>
        <v>10.987500000000011</v>
      </c>
      <c r="L6" s="109">
        <f>164.1*H6/2000</f>
        <v>144.2439</v>
      </c>
    </row>
    <row r="7" spans="1:19" ht="12.75">
      <c r="A7" s="107">
        <v>37539</v>
      </c>
      <c r="B7" s="98" t="s">
        <v>60</v>
      </c>
      <c r="C7" s="108">
        <v>245</v>
      </c>
      <c r="D7" s="109">
        <v>391.63</v>
      </c>
      <c r="E7" s="109">
        <f t="shared" si="0"/>
        <v>959.49</v>
      </c>
      <c r="F7" s="109">
        <f>17*C7/250</f>
        <v>16.66</v>
      </c>
      <c r="G7" s="110"/>
      <c r="H7" s="111"/>
      <c r="I7" s="109"/>
      <c r="J7" s="109"/>
      <c r="K7" s="109"/>
      <c r="L7" s="109"/>
      <c r="N7" s="112"/>
      <c r="O7" s="78"/>
      <c r="P7" s="78"/>
      <c r="Q7" s="78"/>
      <c r="S7" s="78"/>
    </row>
    <row r="8" spans="1:17" s="113" customFormat="1" ht="12.75">
      <c r="A8" s="107">
        <v>37720</v>
      </c>
      <c r="B8" s="98" t="s">
        <v>85</v>
      </c>
      <c r="C8" s="108">
        <v>385</v>
      </c>
      <c r="D8" s="109">
        <v>256.5</v>
      </c>
      <c r="E8" s="109">
        <f t="shared" si="0"/>
        <v>987.53</v>
      </c>
      <c r="F8" s="109">
        <f>7.5+4.94</f>
        <v>12.440000000000001</v>
      </c>
      <c r="G8" s="114"/>
      <c r="H8" s="115"/>
      <c r="I8" s="116"/>
      <c r="J8" s="116"/>
      <c r="K8" s="116"/>
      <c r="L8" s="109"/>
      <c r="N8" s="112"/>
      <c r="O8" s="78"/>
      <c r="P8" s="78"/>
      <c r="Q8" s="78"/>
    </row>
    <row r="9" spans="1:17" s="113" customFormat="1" ht="12.75">
      <c r="A9" s="107">
        <v>37797</v>
      </c>
      <c r="B9" s="98" t="s">
        <v>58</v>
      </c>
      <c r="C9" s="108">
        <v>143</v>
      </c>
      <c r="D9" s="109">
        <v>417</v>
      </c>
      <c r="E9" s="109">
        <f t="shared" si="0"/>
        <v>596.31</v>
      </c>
      <c r="F9" s="109">
        <f>7.5+2.98</f>
        <v>10.48</v>
      </c>
      <c r="G9" s="114"/>
      <c r="H9" s="115"/>
      <c r="I9" s="116"/>
      <c r="J9" s="116"/>
      <c r="K9" s="116"/>
      <c r="L9" s="109"/>
      <c r="N9" s="112"/>
      <c r="O9" s="78"/>
      <c r="P9" s="78"/>
      <c r="Q9" s="78"/>
    </row>
    <row r="10" spans="1:17" s="113" customFormat="1" ht="12.75">
      <c r="A10" s="117">
        <v>37946</v>
      </c>
      <c r="B10" s="118" t="s">
        <v>56</v>
      </c>
      <c r="C10" s="119">
        <v>9825</v>
      </c>
      <c r="D10" s="116">
        <v>10</v>
      </c>
      <c r="E10" s="116">
        <f t="shared" si="0"/>
        <v>982.5</v>
      </c>
      <c r="F10" s="116">
        <f>12.5+4.91</f>
        <v>17.41</v>
      </c>
      <c r="G10" s="114"/>
      <c r="H10" s="115"/>
      <c r="I10" s="116"/>
      <c r="J10" s="116"/>
      <c r="K10" s="116"/>
      <c r="L10" s="109"/>
      <c r="N10" s="112"/>
      <c r="O10" s="78"/>
      <c r="P10" s="78"/>
      <c r="Q10" s="78"/>
    </row>
    <row r="11" spans="1:17" s="113" customFormat="1" ht="12.75">
      <c r="A11" s="117">
        <v>37972</v>
      </c>
      <c r="B11" s="118" t="s">
        <v>86</v>
      </c>
      <c r="C11" s="119">
        <v>150</v>
      </c>
      <c r="D11" s="116">
        <v>666.5</v>
      </c>
      <c r="E11" s="116">
        <f t="shared" si="0"/>
        <v>999.75</v>
      </c>
      <c r="F11" s="116">
        <f>12.5+5</f>
        <v>17.5</v>
      </c>
      <c r="G11" s="114"/>
      <c r="H11" s="115"/>
      <c r="I11" s="116"/>
      <c r="J11" s="116"/>
      <c r="K11" s="116"/>
      <c r="L11" s="109"/>
      <c r="N11" s="112"/>
      <c r="O11" s="78"/>
      <c r="P11" s="78"/>
      <c r="Q11" s="78"/>
    </row>
    <row r="12" spans="1:17" s="113" customFormat="1" ht="12.75">
      <c r="A12" s="117">
        <v>38007</v>
      </c>
      <c r="B12" s="118" t="s">
        <v>87</v>
      </c>
      <c r="C12" s="119">
        <v>800</v>
      </c>
      <c r="D12" s="116">
        <v>121.89</v>
      </c>
      <c r="E12" s="116">
        <f t="shared" si="0"/>
        <v>975.12</v>
      </c>
      <c r="F12" s="116">
        <f>12.5+4.88</f>
        <v>17.38</v>
      </c>
      <c r="G12" s="114"/>
      <c r="H12" s="115"/>
      <c r="I12" s="116"/>
      <c r="J12" s="116"/>
      <c r="K12" s="116"/>
      <c r="L12" s="109"/>
      <c r="N12" s="112"/>
      <c r="O12" s="78"/>
      <c r="P12" s="78"/>
      <c r="Q12" s="78"/>
    </row>
    <row r="13" spans="1:17" s="113" customFormat="1" ht="12.75">
      <c r="A13" s="117">
        <v>38014</v>
      </c>
      <c r="B13" s="118" t="s">
        <v>88</v>
      </c>
      <c r="C13" s="119">
        <v>6361</v>
      </c>
      <c r="D13" s="116">
        <v>11.88</v>
      </c>
      <c r="E13" s="116">
        <f t="shared" si="0"/>
        <v>755.69</v>
      </c>
      <c r="F13" s="116">
        <f>12.5+3.78</f>
        <v>16.28</v>
      </c>
      <c r="G13" s="114"/>
      <c r="H13" s="115"/>
      <c r="I13" s="116"/>
      <c r="J13" s="116"/>
      <c r="K13" s="116"/>
      <c r="L13" s="109"/>
      <c r="N13" s="112"/>
      <c r="O13" s="78"/>
      <c r="P13" s="78"/>
      <c r="Q13" s="78"/>
    </row>
    <row r="14" spans="1:16" s="113" customFormat="1" ht="12.75">
      <c r="A14" s="120">
        <v>38182</v>
      </c>
      <c r="B14" s="118" t="s">
        <v>27</v>
      </c>
      <c r="C14" s="119">
        <v>525</v>
      </c>
      <c r="D14" s="116">
        <f>1.8763*100</f>
        <v>187.63</v>
      </c>
      <c r="E14" s="116">
        <f t="shared" si="0"/>
        <v>985.06</v>
      </c>
      <c r="F14" s="116">
        <v>17.430000000000064</v>
      </c>
      <c r="G14" s="114"/>
      <c r="H14" s="115"/>
      <c r="I14" s="116"/>
      <c r="J14" s="116"/>
      <c r="K14" s="116"/>
      <c r="L14" s="109"/>
      <c r="N14" s="112"/>
      <c r="O14" s="78"/>
      <c r="P14" s="78"/>
    </row>
    <row r="15" spans="1:12" s="113" customFormat="1" ht="12.75">
      <c r="A15" s="120">
        <v>38258</v>
      </c>
      <c r="B15" s="118" t="s">
        <v>62</v>
      </c>
      <c r="C15" s="119">
        <v>234</v>
      </c>
      <c r="D15" s="116">
        <v>427.18</v>
      </c>
      <c r="E15" s="116">
        <f>C15*D15/100</f>
        <v>999.6012</v>
      </c>
      <c r="F15" s="116">
        <f>12.5+5</f>
        <v>17.5</v>
      </c>
      <c r="G15" s="114"/>
      <c r="H15" s="115"/>
      <c r="I15" s="116"/>
      <c r="J15" s="116"/>
      <c r="K15" s="116"/>
      <c r="L15" s="109"/>
    </row>
    <row r="16" spans="1:12" s="113" customFormat="1" ht="12.75">
      <c r="A16" s="120">
        <v>38295</v>
      </c>
      <c r="B16" s="98" t="s">
        <v>59</v>
      </c>
      <c r="C16" s="98">
        <v>98</v>
      </c>
      <c r="D16" s="116">
        <v>9.0085</v>
      </c>
      <c r="E16" s="116">
        <v>899.74</v>
      </c>
      <c r="F16" s="116">
        <f>12.5+4.41</f>
        <v>16.91</v>
      </c>
      <c r="G16" s="114"/>
      <c r="H16" s="115"/>
      <c r="I16" s="116"/>
      <c r="J16" s="116"/>
      <c r="K16" s="116"/>
      <c r="L16" s="109"/>
    </row>
    <row r="17" spans="1:12" s="113" customFormat="1" ht="12.75">
      <c r="A17" s="120">
        <v>38295</v>
      </c>
      <c r="B17" s="98" t="s">
        <v>63</v>
      </c>
      <c r="C17" s="98">
        <v>109</v>
      </c>
      <c r="D17" s="116">
        <v>8.099</v>
      </c>
      <c r="E17" s="116">
        <v>899.7</v>
      </c>
      <c r="F17" s="116">
        <f>12.5+4.41</f>
        <v>16.91</v>
      </c>
      <c r="G17" s="114"/>
      <c r="H17" s="115"/>
      <c r="I17" s="116"/>
      <c r="J17" s="116"/>
      <c r="K17" s="116"/>
      <c r="L17" s="109"/>
    </row>
    <row r="18" spans="1:12" s="113" customFormat="1" ht="12.75">
      <c r="A18" s="120">
        <v>38372</v>
      </c>
      <c r="B18" s="98" t="s">
        <v>89</v>
      </c>
      <c r="C18" s="121">
        <v>396</v>
      </c>
      <c r="D18" s="116">
        <v>2.4794</v>
      </c>
      <c r="E18" s="116">
        <v>999.25</v>
      </c>
      <c r="F18" s="116">
        <f>12.5+4.91</f>
        <v>17.41</v>
      </c>
      <c r="G18" s="114"/>
      <c r="H18" s="115"/>
      <c r="I18" s="116"/>
      <c r="J18" s="116"/>
      <c r="K18" s="116"/>
      <c r="L18" s="109"/>
    </row>
    <row r="19" spans="1:12" s="113" customFormat="1" ht="12.75">
      <c r="A19" s="120">
        <v>38372</v>
      </c>
      <c r="B19" s="98" t="s">
        <v>90</v>
      </c>
      <c r="C19" s="121">
        <v>30</v>
      </c>
      <c r="D19" s="116">
        <v>32.0595</v>
      </c>
      <c r="E19" s="116">
        <v>979.1</v>
      </c>
      <c r="F19" s="116">
        <f>12.5+4.81</f>
        <v>17.31</v>
      </c>
      <c r="G19" s="114"/>
      <c r="H19" s="115"/>
      <c r="I19" s="116"/>
      <c r="J19" s="116"/>
      <c r="K19" s="116"/>
      <c r="L19" s="109"/>
    </row>
    <row r="20" spans="1:12" s="113" customFormat="1" ht="12.75">
      <c r="A20" s="27">
        <v>38482</v>
      </c>
      <c r="B20" t="s">
        <v>186</v>
      </c>
      <c r="C20" s="166">
        <v>393</v>
      </c>
      <c r="D20" s="116">
        <v>502</v>
      </c>
      <c r="E20" s="87">
        <v>1995.22</v>
      </c>
      <c r="F20" s="116">
        <f>E20-C20*D20/100</f>
        <v>22.360000000000127</v>
      </c>
      <c r="G20" s="114"/>
      <c r="H20" s="115"/>
      <c r="I20" s="116"/>
      <c r="J20" s="116"/>
      <c r="K20" s="116"/>
      <c r="L20" s="109"/>
    </row>
    <row r="21" spans="1:12" ht="12.75">
      <c r="A21" s="122" t="s">
        <v>91</v>
      </c>
      <c r="C21" s="108"/>
      <c r="D21" s="109"/>
      <c r="E21" s="123">
        <f>SUM(E5:E19)</f>
        <v>12773.641199999998</v>
      </c>
      <c r="F21" s="124">
        <f>SUM(F5:F19)</f>
        <v>239.39000000000007</v>
      </c>
      <c r="G21" s="110"/>
      <c r="H21" s="111"/>
      <c r="I21" s="109"/>
      <c r="J21" s="109"/>
      <c r="K21" s="116"/>
      <c r="L21" s="109"/>
    </row>
    <row r="22" spans="1:12" ht="12.75">
      <c r="A22" s="125" t="s">
        <v>215</v>
      </c>
      <c r="E22" s="139">
        <f>E20</f>
        <v>1995.22</v>
      </c>
      <c r="F22" s="139">
        <f>F20</f>
        <v>22.360000000000127</v>
      </c>
      <c r="J22" s="127"/>
      <c r="K22" s="123">
        <f>SUM(K5:K21)</f>
        <v>12.500000000000014</v>
      </c>
      <c r="L22" s="123">
        <f>SUM(L5:L21)</f>
        <v>164.1</v>
      </c>
    </row>
    <row r="23" spans="1:11" ht="12.75">
      <c r="A23" s="128" t="s">
        <v>92</v>
      </c>
      <c r="E23" s="126"/>
      <c r="F23" s="126"/>
      <c r="J23" s="127"/>
      <c r="K23" s="126"/>
    </row>
    <row r="24" spans="1:11" ht="12.75" customHeight="1">
      <c r="A24" s="122" t="s">
        <v>93</v>
      </c>
      <c r="B24" s="78" t="s">
        <v>26</v>
      </c>
      <c r="D24" s="9">
        <v>20.7</v>
      </c>
      <c r="E24" s="78"/>
      <c r="F24" s="78"/>
      <c r="G24" s="78"/>
      <c r="H24" s="112"/>
      <c r="I24" s="78"/>
      <c r="K24" s="126"/>
    </row>
    <row r="25" spans="1:10" ht="12.75" customHeight="1">
      <c r="A25" s="122"/>
      <c r="B25" s="78" t="s">
        <v>27</v>
      </c>
      <c r="D25" s="9">
        <v>27.56</v>
      </c>
      <c r="E25" s="78"/>
      <c r="F25" s="78"/>
      <c r="G25" s="78"/>
      <c r="H25" s="112"/>
      <c r="I25"/>
      <c r="J25"/>
    </row>
    <row r="26" spans="1:16" ht="12.75" customHeight="1">
      <c r="A26" s="98" t="s">
        <v>94</v>
      </c>
      <c r="B26" t="s">
        <v>33</v>
      </c>
      <c r="D26" s="9">
        <v>13.83</v>
      </c>
      <c r="F26" s="112"/>
      <c r="G26" s="78"/>
      <c r="I26" s="28"/>
      <c r="J26" s="1"/>
      <c r="M26" s="78"/>
      <c r="N26" s="112"/>
      <c r="O26" s="78"/>
      <c r="P26" s="78"/>
    </row>
    <row r="27" spans="2:14" ht="12.75" customHeight="1">
      <c r="B27" t="s">
        <v>31</v>
      </c>
      <c r="C27" s="28"/>
      <c r="D27" s="9">
        <v>37.73</v>
      </c>
      <c r="E27" s="78"/>
      <c r="F27"/>
      <c r="G27"/>
      <c r="I27" s="130"/>
      <c r="J27" s="130"/>
      <c r="K27" s="79"/>
      <c r="L27" s="79"/>
      <c r="M27" s="79"/>
      <c r="N27" s="78"/>
    </row>
    <row r="28" spans="2:14" ht="12.75" customHeight="1">
      <c r="B28" t="s">
        <v>185</v>
      </c>
      <c r="C28" s="28"/>
      <c r="D28" s="9">
        <v>31.68</v>
      </c>
      <c r="E28" s="78"/>
      <c r="F28"/>
      <c r="G28" s="28"/>
      <c r="H28" s="1"/>
      <c r="I28" s="169"/>
      <c r="J28" s="96"/>
      <c r="K28" s="78"/>
      <c r="L28" s="170"/>
      <c r="M28" s="78"/>
      <c r="N28" s="78"/>
    </row>
    <row r="29" spans="2:14" ht="12.75" customHeight="1">
      <c r="B29" t="s">
        <v>27</v>
      </c>
      <c r="C29" s="9"/>
      <c r="D29" s="9">
        <v>16.53</v>
      </c>
      <c r="E29" s="78"/>
      <c r="F29"/>
      <c r="G29" s="28"/>
      <c r="H29" s="1"/>
      <c r="I29" s="169"/>
      <c r="J29" s="96"/>
      <c r="K29" s="78"/>
      <c r="L29" s="170"/>
      <c r="M29" s="78"/>
      <c r="N29" s="78"/>
    </row>
    <row r="30" spans="2:12" ht="12.75" customHeight="1">
      <c r="B30" s="4" t="s">
        <v>184</v>
      </c>
      <c r="C30" s="96"/>
      <c r="D30" s="96">
        <v>147.15</v>
      </c>
      <c r="E30" s="78"/>
      <c r="F30"/>
      <c r="G30" s="112"/>
      <c r="H30" s="78"/>
      <c r="I30" s="78"/>
      <c r="K30" s="78"/>
      <c r="L30" s="112"/>
    </row>
    <row r="31" spans="1:10" ht="12.75" customHeight="1">
      <c r="A31" s="98" t="s">
        <v>95</v>
      </c>
      <c r="B31" s="167" t="s">
        <v>210</v>
      </c>
      <c r="C31" s="130"/>
      <c r="D31" s="96">
        <v>17.9</v>
      </c>
      <c r="F31" s="112"/>
      <c r="H31" s="78"/>
      <c r="I31" s="112"/>
      <c r="J31" s="78"/>
    </row>
    <row r="32" spans="1:11" ht="12.75" customHeight="1">
      <c r="A32" s="98" t="s">
        <v>96</v>
      </c>
      <c r="D32" s="129"/>
      <c r="F32" s="112"/>
      <c r="H32" s="78"/>
      <c r="I32" s="112"/>
      <c r="J32" s="78"/>
      <c r="K32" s="78"/>
    </row>
    <row r="33" spans="1:11" ht="12.75" customHeight="1">
      <c r="A33" s="98" t="s">
        <v>97</v>
      </c>
      <c r="B33" s="78"/>
      <c r="D33" s="129"/>
      <c r="F33" s="112"/>
      <c r="H33" s="78"/>
      <c r="I33" s="112"/>
      <c r="J33" s="78"/>
      <c r="K33" s="78"/>
    </row>
    <row r="34" spans="1:16" ht="12.75" customHeight="1">
      <c r="A34" s="98" t="s">
        <v>98</v>
      </c>
      <c r="B34" s="78"/>
      <c r="D34" s="129"/>
      <c r="F34" s="112"/>
      <c r="G34" s="78"/>
      <c r="K34" s="78"/>
      <c r="M34" s="78"/>
      <c r="N34" s="112"/>
      <c r="O34" s="78"/>
      <c r="P34" s="78"/>
    </row>
    <row r="35" spans="1:16" ht="12.75" customHeight="1">
      <c r="A35" s="98" t="s">
        <v>99</v>
      </c>
      <c r="B35" s="78"/>
      <c r="D35" s="1"/>
      <c r="F35" s="112"/>
      <c r="G35" s="78"/>
      <c r="H35" s="78"/>
      <c r="I35"/>
      <c r="J35"/>
      <c r="M35" s="78"/>
      <c r="N35" s="112"/>
      <c r="O35" s="78"/>
      <c r="P35" s="78"/>
    </row>
    <row r="36" spans="1:12" ht="12.75" customHeight="1">
      <c r="A36" s="98" t="s">
        <v>100</v>
      </c>
      <c r="C36" s="130"/>
      <c r="F36" s="112"/>
      <c r="G36" s="78"/>
      <c r="H36" s="78"/>
      <c r="I36" s="78"/>
      <c r="J36" s="112"/>
      <c r="K36" s="78"/>
      <c r="L36" s="78"/>
    </row>
    <row r="37" spans="1:11" ht="12.75" customHeight="1">
      <c r="A37" s="98" t="s">
        <v>101</v>
      </c>
      <c r="B37" s="130"/>
      <c r="D37" s="129"/>
      <c r="F37" s="112"/>
      <c r="G37" s="78"/>
      <c r="H37" s="78"/>
      <c r="I37" s="78"/>
      <c r="J37" s="112"/>
      <c r="K37" s="78"/>
    </row>
    <row r="38" spans="1:10" ht="12.75" customHeight="1">
      <c r="A38" s="98" t="s">
        <v>102</v>
      </c>
      <c r="D38" s="129"/>
      <c r="F38" s="112"/>
      <c r="G38" s="78"/>
      <c r="H38" s="78"/>
      <c r="I38" s="78"/>
      <c r="J38" s="112"/>
    </row>
    <row r="39" spans="1:10" ht="12.75" customHeight="1">
      <c r="A39" s="98" t="s">
        <v>103</v>
      </c>
      <c r="D39" s="129"/>
      <c r="F39" s="112"/>
      <c r="G39" s="78"/>
      <c r="H39" s="78"/>
      <c r="I39" s="78"/>
      <c r="J39" s="112"/>
    </row>
    <row r="40" spans="1:11" ht="12.75" customHeight="1">
      <c r="A40" s="98" t="s">
        <v>104</v>
      </c>
      <c r="B40" s="78"/>
      <c r="D40" s="129"/>
      <c r="F40" s="112"/>
      <c r="G40" s="78"/>
      <c r="H40" s="78"/>
      <c r="I40" s="78"/>
      <c r="J40" s="112"/>
      <c r="K40" s="78"/>
    </row>
    <row r="41" spans="4:16" ht="12.75">
      <c r="D41" s="123">
        <f>SUM(D24:D40)</f>
        <v>313.08</v>
      </c>
      <c r="I41" s="131"/>
      <c r="J41" s="131"/>
      <c r="K41" s="78"/>
      <c r="M41" s="132"/>
      <c r="N41" s="132"/>
      <c r="O41" s="132"/>
      <c r="P41" s="78"/>
    </row>
    <row r="42" spans="9:16" ht="12.75">
      <c r="I42" s="19"/>
      <c r="J42" s="8"/>
      <c r="K42" s="132"/>
      <c r="L42" s="132"/>
      <c r="M42" s="63"/>
      <c r="O42" s="133"/>
      <c r="P42" s="78"/>
    </row>
    <row r="43" spans="2:16" ht="12.75">
      <c r="B43" s="100" t="s">
        <v>105</v>
      </c>
      <c r="D43" s="134" t="s">
        <v>32</v>
      </c>
      <c r="F43" s="100" t="s">
        <v>106</v>
      </c>
      <c r="G43" s="100"/>
      <c r="I43" s="19"/>
      <c r="J43" s="8"/>
      <c r="K43" s="78"/>
      <c r="L43" s="78"/>
      <c r="M43" s="1"/>
      <c r="N43" s="1"/>
      <c r="O43" s="133"/>
      <c r="P43" s="78"/>
    </row>
    <row r="44" spans="1:16" ht="12.75">
      <c r="A44" s="98" t="s">
        <v>93</v>
      </c>
      <c r="B44" s="109"/>
      <c r="D44" s="9">
        <v>3.63</v>
      </c>
      <c r="I44" s="19"/>
      <c r="J44" s="8"/>
      <c r="K44" s="78"/>
      <c r="L44" s="78"/>
      <c r="M44" s="63"/>
      <c r="O44" s="133"/>
      <c r="P44" s="135"/>
    </row>
    <row r="45" spans="1:16" ht="12.75">
      <c r="A45" s="98" t="s">
        <v>94</v>
      </c>
      <c r="B45" s="109"/>
      <c r="D45" s="9">
        <v>2.51</v>
      </c>
      <c r="I45" s="19"/>
      <c r="J45" s="78"/>
      <c r="K45" s="78"/>
      <c r="M45" s="1"/>
      <c r="N45" s="78"/>
      <c r="O45" s="133"/>
      <c r="P45" s="78"/>
    </row>
    <row r="46" spans="1:16" ht="12.75">
      <c r="A46" s="98" t="s">
        <v>107</v>
      </c>
      <c r="B46" s="109"/>
      <c r="D46" s="9">
        <v>3.65</v>
      </c>
      <c r="F46" s="125"/>
      <c r="I46" s="19"/>
      <c r="J46" s="78"/>
      <c r="K46" s="136"/>
      <c r="L46" s="78"/>
      <c r="M46" s="1"/>
      <c r="O46" s="133"/>
      <c r="P46" s="78"/>
    </row>
    <row r="47" spans="1:16" ht="12.75">
      <c r="A47" s="98" t="s">
        <v>108</v>
      </c>
      <c r="B47" s="109"/>
      <c r="D47" s="126"/>
      <c r="I47" s="19"/>
      <c r="J47" s="8"/>
      <c r="K47" s="78"/>
      <c r="M47" s="9"/>
      <c r="O47" s="133"/>
      <c r="P47" s="78"/>
    </row>
    <row r="48" spans="1:16" ht="12.75">
      <c r="A48" s="98" t="s">
        <v>109</v>
      </c>
      <c r="B48" s="109"/>
      <c r="D48" s="126"/>
      <c r="I48" s="19"/>
      <c r="J48" s="8"/>
      <c r="K48" s="137"/>
      <c r="M48" s="9"/>
      <c r="O48" s="133"/>
      <c r="P48" s="78"/>
    </row>
    <row r="49" spans="1:11" ht="12.75">
      <c r="A49" s="98" t="s">
        <v>110</v>
      </c>
      <c r="B49" s="109"/>
      <c r="D49" s="109"/>
      <c r="E49" s="125"/>
      <c r="F49" s="125"/>
      <c r="I49" s="138"/>
      <c r="K49" s="137"/>
    </row>
    <row r="50" spans="1:9" ht="12.75">
      <c r="A50" s="98" t="s">
        <v>111</v>
      </c>
      <c r="B50" s="109"/>
      <c r="D50" s="125"/>
      <c r="E50" s="125"/>
      <c r="F50" s="125"/>
      <c r="I50" s="78"/>
    </row>
    <row r="51" spans="1:10" ht="12.75">
      <c r="A51" s="98" t="s">
        <v>112</v>
      </c>
      <c r="B51" s="109"/>
      <c r="D51" s="109"/>
      <c r="E51" s="125"/>
      <c r="F51" s="125"/>
      <c r="J51" s="108"/>
    </row>
    <row r="52" spans="1:10" ht="12.75">
      <c r="A52" s="98" t="s">
        <v>113</v>
      </c>
      <c r="B52" s="109"/>
      <c r="D52" s="108"/>
      <c r="E52" s="125"/>
      <c r="F52" s="125"/>
      <c r="J52" s="108"/>
    </row>
    <row r="53" spans="1:10" ht="12.75">
      <c r="A53" s="98" t="s">
        <v>114</v>
      </c>
      <c r="B53" s="109"/>
      <c r="D53" s="109"/>
      <c r="E53" s="125"/>
      <c r="F53" s="125"/>
      <c r="J53" s="108"/>
    </row>
    <row r="54" spans="1:10" ht="12.75">
      <c r="A54" s="98" t="s">
        <v>115</v>
      </c>
      <c r="B54" s="109"/>
      <c r="D54" s="125"/>
      <c r="E54" s="125"/>
      <c r="F54" s="125"/>
      <c r="J54" s="108"/>
    </row>
    <row r="55" spans="1:10" ht="12.75">
      <c r="A55" s="98" t="s">
        <v>116</v>
      </c>
      <c r="B55" s="109"/>
      <c r="D55" s="109"/>
      <c r="E55" s="125"/>
      <c r="J55" s="108"/>
    </row>
    <row r="56" spans="2:7" ht="12.75">
      <c r="B56" s="139">
        <f>SUM(B44:B55)</f>
        <v>0</v>
      </c>
      <c r="D56" s="123">
        <f>SUM(D44:D55)</f>
        <v>9.79</v>
      </c>
      <c r="F56" s="123">
        <f>SUM(F44:F55)</f>
        <v>0</v>
      </c>
      <c r="G56" s="140"/>
    </row>
    <row r="57" spans="2:9" ht="12.75">
      <c r="B57" s="140"/>
      <c r="D57" s="140"/>
      <c r="H57" s="140"/>
      <c r="I57" s="140"/>
    </row>
    <row r="58" spans="1:9" ht="12.75">
      <c r="A58" s="100" t="s">
        <v>117</v>
      </c>
      <c r="D58" s="98" t="s">
        <v>118</v>
      </c>
      <c r="E58" s="125" t="s">
        <v>118</v>
      </c>
      <c r="F58" s="125" t="s">
        <v>119</v>
      </c>
      <c r="G58" s="125" t="s">
        <v>120</v>
      </c>
      <c r="H58" s="125" t="s">
        <v>121</v>
      </c>
      <c r="I58" s="125" t="s">
        <v>122</v>
      </c>
    </row>
    <row r="59" spans="1:9" ht="12.75">
      <c r="A59" s="98" t="s">
        <v>123</v>
      </c>
      <c r="D59" s="109">
        <f>SUM(L5:L13)</f>
        <v>164.1</v>
      </c>
      <c r="E59" s="109">
        <v>564.5609999999999</v>
      </c>
      <c r="F59" s="109">
        <v>305.5131999999999</v>
      </c>
      <c r="G59" s="109">
        <v>-2974.57</v>
      </c>
      <c r="H59" s="109">
        <v>-964.1882999999997</v>
      </c>
      <c r="I59" s="108">
        <v>354.67</v>
      </c>
    </row>
    <row r="60" spans="1:9" ht="12.75">
      <c r="A60" s="98" t="s">
        <v>124</v>
      </c>
      <c r="D60" s="109">
        <f>D41</f>
        <v>313.08</v>
      </c>
      <c r="E60" s="109">
        <v>652.45</v>
      </c>
      <c r="F60" s="109">
        <v>368.62</v>
      </c>
      <c r="G60" s="109">
        <v>241.71</v>
      </c>
      <c r="H60" s="109">
        <v>281.98</v>
      </c>
      <c r="I60" s="108">
        <v>65.84</v>
      </c>
    </row>
    <row r="61" spans="1:9" ht="12.75">
      <c r="A61" s="98" t="s">
        <v>125</v>
      </c>
      <c r="C61" s="98" t="s">
        <v>126</v>
      </c>
      <c r="D61" s="109">
        <f>D56</f>
        <v>9.79</v>
      </c>
      <c r="E61" s="109">
        <v>28.42</v>
      </c>
      <c r="F61" s="109">
        <v>3.44</v>
      </c>
      <c r="G61" s="109">
        <v>1.45</v>
      </c>
      <c r="H61" s="109">
        <v>18.31</v>
      </c>
      <c r="I61" s="108">
        <v>14.02</v>
      </c>
    </row>
    <row r="62" spans="3:9" ht="12.75">
      <c r="C62" s="98" t="s">
        <v>127</v>
      </c>
      <c r="D62" s="109">
        <f>B56</f>
        <v>0</v>
      </c>
      <c r="E62" s="109">
        <v>0</v>
      </c>
      <c r="F62" s="109">
        <v>1.27</v>
      </c>
      <c r="G62" s="109">
        <v>10.21</v>
      </c>
      <c r="H62" s="109">
        <v>0.81</v>
      </c>
      <c r="I62" s="108">
        <v>3.71</v>
      </c>
    </row>
    <row r="63" spans="1:9" ht="12.75">
      <c r="A63" s="98" t="s">
        <v>128</v>
      </c>
      <c r="D63" s="123">
        <f>SUM(D59:D62)</f>
        <v>486.96999999999997</v>
      </c>
      <c r="E63" s="123">
        <v>1245.4309999999998</v>
      </c>
      <c r="F63" s="123">
        <v>678.8431999999999</v>
      </c>
      <c r="G63" s="123">
        <f>SUM(G59:G62)</f>
        <v>-2721.2000000000003</v>
      </c>
      <c r="H63" s="123">
        <v>-663.0882999999999</v>
      </c>
      <c r="I63" s="141">
        <v>438.24</v>
      </c>
    </row>
    <row r="64" spans="1:9" ht="12.75">
      <c r="A64" s="98" t="s">
        <v>129</v>
      </c>
      <c r="D64" s="109">
        <f>-F22-K22</f>
        <v>-34.86000000000014</v>
      </c>
      <c r="E64" s="109">
        <v>-422.64700000000045</v>
      </c>
      <c r="F64" s="109">
        <v>-618.48</v>
      </c>
      <c r="G64" s="109">
        <v>-205.04</v>
      </c>
      <c r="H64" s="109">
        <v>-510.07</v>
      </c>
      <c r="I64" s="108">
        <v>-287.21</v>
      </c>
    </row>
    <row r="65" spans="1:9" ht="12.75">
      <c r="A65" s="98" t="s">
        <v>130</v>
      </c>
      <c r="D65" s="109">
        <f>F56*-1</f>
        <v>0</v>
      </c>
      <c r="E65" s="109">
        <v>-0.56</v>
      </c>
      <c r="F65" s="109">
        <v>-0.84</v>
      </c>
      <c r="G65" s="109">
        <v>-0.81</v>
      </c>
      <c r="H65" s="109">
        <v>-0.28</v>
      </c>
      <c r="I65" s="108">
        <v>-325.3</v>
      </c>
    </row>
    <row r="66" spans="1:9" ht="12.75">
      <c r="A66" s="98" t="s">
        <v>131</v>
      </c>
      <c r="D66" s="142">
        <f>SUM(D63:D65)</f>
        <v>452.10999999999984</v>
      </c>
      <c r="E66" s="142">
        <v>822.2239999999995</v>
      </c>
      <c r="F66" s="143">
        <v>59.52319999999989</v>
      </c>
      <c r="G66" s="142">
        <f>SUM(G63:G65)</f>
        <v>-2927.05</v>
      </c>
      <c r="H66" s="142">
        <v>-1173.4383</v>
      </c>
      <c r="I66" s="142">
        <v>-174.27</v>
      </c>
    </row>
    <row r="68" ht="12" customHeight="1"/>
    <row r="69" ht="12" customHeight="1"/>
  </sheetData>
  <conditionalFormatting sqref="D66:E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L5:L21">
    <cfRule type="cellIs" priority="3" dxfId="0" operator="greaterThan" stopIfTrue="1">
      <formula>$E$5</formula>
    </cfRule>
    <cfRule type="cellIs" priority="4" dxfId="1" operator="lessThan" stopIfTrue="1">
      <formula>$E$5</formula>
    </cfRule>
  </conditionalFormatting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="85" zoomScaleNormal="85" workbookViewId="0" topLeftCell="A24">
      <selection activeCell="D59" sqref="D59"/>
    </sheetView>
  </sheetViews>
  <sheetFormatPr defaultColWidth="9.140625" defaultRowHeight="12.75"/>
  <cols>
    <col min="1" max="1" width="10.00390625" style="0" customWidth="1"/>
    <col min="2" max="2" width="1.7109375" style="0" customWidth="1"/>
    <col min="3" max="3" width="27.7109375" style="0" customWidth="1"/>
    <col min="8" max="8" width="9.7109375" style="0" bestFit="1" customWidth="1"/>
    <col min="10" max="10" width="9.8515625" style="0" bestFit="1" customWidth="1"/>
    <col min="11" max="11" width="10.421875" style="0" customWidth="1"/>
  </cols>
  <sheetData>
    <row r="1" ht="12.75">
      <c r="A1" s="3" t="s">
        <v>132</v>
      </c>
    </row>
    <row r="2" spans="1:6" ht="12.75">
      <c r="A2" s="131" t="s">
        <v>2</v>
      </c>
      <c r="B2" s="131"/>
      <c r="C2" s="131" t="s">
        <v>3</v>
      </c>
      <c r="D2" s="144" t="s">
        <v>133</v>
      </c>
      <c r="E2" s="144" t="s">
        <v>134</v>
      </c>
      <c r="F2" s="144" t="s">
        <v>135</v>
      </c>
    </row>
    <row r="3" spans="1:6" ht="12.75">
      <c r="A3" s="10">
        <v>38443</v>
      </c>
      <c r="C3" t="s">
        <v>136</v>
      </c>
      <c r="E3" s="1">
        <v>30</v>
      </c>
      <c r="F3">
        <v>2156.91</v>
      </c>
    </row>
    <row r="4" spans="1:6" ht="12.75">
      <c r="A4" s="10">
        <v>38443</v>
      </c>
      <c r="C4" t="s">
        <v>137</v>
      </c>
      <c r="E4" s="1">
        <v>30</v>
      </c>
      <c r="F4">
        <v>2186.91</v>
      </c>
    </row>
    <row r="5" spans="1:6" ht="12.75">
      <c r="A5" s="10">
        <v>38447</v>
      </c>
      <c r="C5" t="s">
        <v>138</v>
      </c>
      <c r="E5" s="1">
        <v>30</v>
      </c>
      <c r="F5">
        <v>2216.91</v>
      </c>
    </row>
    <row r="6" spans="1:6" ht="12.75">
      <c r="A6" s="10">
        <v>38447</v>
      </c>
      <c r="C6" t="s">
        <v>139</v>
      </c>
      <c r="E6" s="1">
        <v>30</v>
      </c>
      <c r="F6">
        <v>2246.91</v>
      </c>
    </row>
    <row r="7" spans="1:6" ht="12.75">
      <c r="A7" s="10">
        <v>38447</v>
      </c>
      <c r="C7" t="s">
        <v>140</v>
      </c>
      <c r="E7" s="1">
        <v>30</v>
      </c>
      <c r="F7">
        <v>2276.91</v>
      </c>
    </row>
    <row r="8" spans="1:6" ht="12.75">
      <c r="A8" s="10">
        <v>38447</v>
      </c>
      <c r="C8" t="s">
        <v>141</v>
      </c>
      <c r="E8" s="1">
        <v>30</v>
      </c>
      <c r="F8">
        <v>2306.91</v>
      </c>
    </row>
    <row r="9" spans="1:6" ht="12.75">
      <c r="A9" s="10">
        <v>38447</v>
      </c>
      <c r="C9" t="s">
        <v>142</v>
      </c>
      <c r="E9" s="1">
        <v>30</v>
      </c>
      <c r="F9">
        <v>2336.91</v>
      </c>
    </row>
    <row r="10" spans="1:6" ht="12.75">
      <c r="A10" s="10">
        <v>38448</v>
      </c>
      <c r="C10" t="s">
        <v>143</v>
      </c>
      <c r="E10" s="1">
        <v>30</v>
      </c>
      <c r="F10">
        <v>2366.91</v>
      </c>
    </row>
    <row r="11" spans="1:6" ht="13.5" customHeight="1" thickBot="1">
      <c r="A11" s="32">
        <v>38448</v>
      </c>
      <c r="B11" s="13"/>
      <c r="C11" s="13">
        <v>36</v>
      </c>
      <c r="D11" s="13">
        <v>2092.54</v>
      </c>
      <c r="E11" s="13"/>
      <c r="F11" s="13">
        <v>274.37</v>
      </c>
    </row>
    <row r="12" spans="1:6" ht="13.5" customHeight="1" thickTop="1">
      <c r="A12" s="145" t="s">
        <v>135</v>
      </c>
      <c r="D12" s="9">
        <f>SUM(D1:D11)</f>
        <v>2092.54</v>
      </c>
      <c r="E12" s="9">
        <f>SUM(E1:E11)</f>
        <v>240</v>
      </c>
      <c r="F12" s="97">
        <f>F11</f>
        <v>274.37</v>
      </c>
    </row>
    <row r="14" ht="12.75">
      <c r="A14" s="3" t="s">
        <v>163</v>
      </c>
    </row>
    <row r="15" spans="1:6" ht="12.75">
      <c r="A15" s="131" t="s">
        <v>2</v>
      </c>
      <c r="B15" s="131"/>
      <c r="C15" s="131" t="s">
        <v>3</v>
      </c>
      <c r="D15" s="144" t="s">
        <v>133</v>
      </c>
      <c r="E15" s="144" t="s">
        <v>134</v>
      </c>
      <c r="F15" s="144" t="s">
        <v>135</v>
      </c>
    </row>
    <row r="16" spans="1:6" ht="12.75">
      <c r="A16" s="10">
        <v>38475</v>
      </c>
      <c r="C16" t="s">
        <v>144</v>
      </c>
      <c r="E16" s="1">
        <v>30</v>
      </c>
      <c r="F16" s="9">
        <v>304.37</v>
      </c>
    </row>
    <row r="17" spans="1:6" ht="12.75">
      <c r="A17" s="10">
        <v>38475</v>
      </c>
      <c r="C17" t="s">
        <v>145</v>
      </c>
      <c r="E17" s="1">
        <v>30</v>
      </c>
      <c r="F17" s="9">
        <v>334.37</v>
      </c>
    </row>
    <row r="18" spans="1:6" ht="12.75">
      <c r="A18" s="10">
        <v>38477</v>
      </c>
      <c r="C18" t="s">
        <v>146</v>
      </c>
      <c r="E18" s="1">
        <v>30</v>
      </c>
      <c r="F18" s="9">
        <v>364.37</v>
      </c>
    </row>
    <row r="19" spans="1:6" ht="12.75">
      <c r="A19" s="10">
        <v>38477</v>
      </c>
      <c r="C19" t="s">
        <v>147</v>
      </c>
      <c r="E19" s="1">
        <v>30</v>
      </c>
      <c r="F19" s="9">
        <v>394.37</v>
      </c>
    </row>
    <row r="20" spans="1:6" ht="12.75">
      <c r="A20" s="10">
        <v>38477</v>
      </c>
      <c r="C20" t="s">
        <v>148</v>
      </c>
      <c r="E20" s="1">
        <v>30</v>
      </c>
      <c r="F20" s="9">
        <v>424.37</v>
      </c>
    </row>
    <row r="21" spans="1:6" ht="12.75">
      <c r="A21" s="10">
        <v>38477</v>
      </c>
      <c r="C21" t="s">
        <v>149</v>
      </c>
      <c r="E21" s="1">
        <v>30</v>
      </c>
      <c r="F21" s="9">
        <v>454.37</v>
      </c>
    </row>
    <row r="22" spans="1:6" ht="12.75">
      <c r="A22" s="10">
        <v>38477</v>
      </c>
      <c r="C22" t="s">
        <v>150</v>
      </c>
      <c r="E22" s="1">
        <v>30</v>
      </c>
      <c r="F22" s="9">
        <v>484.37</v>
      </c>
    </row>
    <row r="23" spans="1:6" ht="12.75">
      <c r="A23" s="10">
        <v>38477</v>
      </c>
      <c r="C23" t="s">
        <v>151</v>
      </c>
      <c r="E23" s="1">
        <v>30</v>
      </c>
      <c r="F23" s="9">
        <v>514.37</v>
      </c>
    </row>
    <row r="24" spans="1:6" ht="12.75">
      <c r="A24" s="10">
        <v>38483</v>
      </c>
      <c r="C24" t="s">
        <v>174</v>
      </c>
      <c r="D24" s="1"/>
      <c r="E24" s="9">
        <v>1400</v>
      </c>
      <c r="F24" s="9">
        <v>1914.37</v>
      </c>
    </row>
    <row r="25" spans="1:6" ht="12.75">
      <c r="A25" s="10">
        <v>38489</v>
      </c>
      <c r="C25" t="s">
        <v>188</v>
      </c>
      <c r="D25">
        <v>1.08</v>
      </c>
      <c r="F25">
        <v>1913.29</v>
      </c>
    </row>
    <row r="26" spans="1:6" ht="13.5" thickBot="1">
      <c r="A26" s="32">
        <v>38492</v>
      </c>
      <c r="B26" s="13"/>
      <c r="C26" s="13">
        <v>37</v>
      </c>
      <c r="D26" s="13">
        <v>1904.42</v>
      </c>
      <c r="E26" s="13"/>
      <c r="F26" s="13">
        <v>8.87</v>
      </c>
    </row>
    <row r="27" spans="1:6" ht="13.5" thickTop="1">
      <c r="A27" s="145" t="s">
        <v>135</v>
      </c>
      <c r="D27" s="9">
        <f>SUM(D16:D26)</f>
        <v>1905.5</v>
      </c>
      <c r="E27" s="9">
        <f>SUM(E16:E26)</f>
        <v>1640</v>
      </c>
      <c r="F27" s="97">
        <f>F26</f>
        <v>8.87</v>
      </c>
    </row>
    <row r="29" ht="12.75">
      <c r="A29" s="3" t="s">
        <v>163</v>
      </c>
    </row>
    <row r="30" spans="1:6" ht="12.75">
      <c r="A30" s="131" t="s">
        <v>2</v>
      </c>
      <c r="B30" s="131"/>
      <c r="C30" s="131" t="s">
        <v>3</v>
      </c>
      <c r="D30" s="144" t="s">
        <v>133</v>
      </c>
      <c r="E30" s="144" t="s">
        <v>134</v>
      </c>
      <c r="F30" s="144" t="s">
        <v>135</v>
      </c>
    </row>
    <row r="31" spans="1:6" ht="12.75">
      <c r="A31" s="10">
        <v>38504</v>
      </c>
      <c r="C31" t="s">
        <v>192</v>
      </c>
      <c r="D31" s="1"/>
      <c r="E31" s="1">
        <v>30</v>
      </c>
      <c r="F31" s="1">
        <v>38.87</v>
      </c>
    </row>
    <row r="32" spans="1:6" ht="12.75">
      <c r="A32" s="10">
        <v>38504</v>
      </c>
      <c r="C32" t="s">
        <v>193</v>
      </c>
      <c r="D32" s="1"/>
      <c r="E32" s="1">
        <v>30</v>
      </c>
      <c r="F32" s="1">
        <v>68.87</v>
      </c>
    </row>
    <row r="33" spans="1:6" ht="12.75">
      <c r="A33" s="10">
        <v>38506</v>
      </c>
      <c r="C33" t="s">
        <v>194</v>
      </c>
      <c r="D33" s="1"/>
      <c r="E33" s="1">
        <v>30</v>
      </c>
      <c r="F33" s="1">
        <v>98.87</v>
      </c>
    </row>
    <row r="34" spans="1:6" ht="12.75">
      <c r="A34" s="10">
        <v>38506</v>
      </c>
      <c r="C34" t="s">
        <v>195</v>
      </c>
      <c r="D34" s="1"/>
      <c r="E34" s="1">
        <v>30</v>
      </c>
      <c r="F34" s="1">
        <v>128.87</v>
      </c>
    </row>
    <row r="35" spans="1:6" ht="12.75">
      <c r="A35" s="10">
        <v>38506</v>
      </c>
      <c r="C35" t="s">
        <v>196</v>
      </c>
      <c r="D35" s="1"/>
      <c r="E35" s="1">
        <v>30</v>
      </c>
      <c r="F35" s="1">
        <v>158.87</v>
      </c>
    </row>
    <row r="36" spans="1:6" ht="12.75">
      <c r="A36" s="10">
        <v>38510</v>
      </c>
      <c r="C36" t="s">
        <v>198</v>
      </c>
      <c r="D36" s="1"/>
      <c r="E36" s="1">
        <v>30</v>
      </c>
      <c r="F36" s="1">
        <v>188.87</v>
      </c>
    </row>
    <row r="37" spans="1:6" ht="13.5" thickBot="1">
      <c r="A37" s="32">
        <v>38511</v>
      </c>
      <c r="B37" s="13"/>
      <c r="C37" s="13" t="s">
        <v>197</v>
      </c>
      <c r="D37" s="33"/>
      <c r="E37" s="33">
        <v>2100</v>
      </c>
      <c r="F37" s="33">
        <v>2288.87</v>
      </c>
    </row>
    <row r="38" spans="1:6" ht="13.5" thickTop="1">
      <c r="A38" s="145" t="s">
        <v>135</v>
      </c>
      <c r="D38" s="9">
        <f>SUM(D27:D37)</f>
        <v>1905.5</v>
      </c>
      <c r="E38" s="9">
        <f>SUM(E27:E37)</f>
        <v>3920</v>
      </c>
      <c r="F38" s="97">
        <f>F37</f>
        <v>2288.87</v>
      </c>
    </row>
    <row r="40" ht="12.75">
      <c r="A40" s="3" t="s">
        <v>187</v>
      </c>
    </row>
    <row r="41" spans="1:6" ht="12.75">
      <c r="A41" s="131" t="s">
        <v>2</v>
      </c>
      <c r="B41" s="131"/>
      <c r="C41" s="131" t="s">
        <v>3</v>
      </c>
      <c r="D41" s="144" t="s">
        <v>133</v>
      </c>
      <c r="E41" s="144" t="s">
        <v>134</v>
      </c>
      <c r="F41" s="144" t="s">
        <v>135</v>
      </c>
    </row>
    <row r="42" spans="1:6" ht="12.75">
      <c r="A42" s="10">
        <v>38504</v>
      </c>
      <c r="C42" t="s">
        <v>192</v>
      </c>
      <c r="D42" s="1"/>
      <c r="E42" s="1">
        <v>30</v>
      </c>
      <c r="F42" s="1">
        <v>38.87</v>
      </c>
    </row>
    <row r="43" spans="1:6" ht="12.75">
      <c r="A43" s="10">
        <v>38504</v>
      </c>
      <c r="C43" t="s">
        <v>193</v>
      </c>
      <c r="D43" s="1"/>
      <c r="E43" s="1">
        <v>30</v>
      </c>
      <c r="F43" s="1">
        <v>68.87</v>
      </c>
    </row>
    <row r="44" spans="1:6" ht="12.75">
      <c r="A44" s="10">
        <v>38506</v>
      </c>
      <c r="C44" t="s">
        <v>194</v>
      </c>
      <c r="D44" s="1"/>
      <c r="E44" s="1">
        <v>30</v>
      </c>
      <c r="F44" s="1">
        <v>98.87</v>
      </c>
    </row>
    <row r="45" spans="1:6" ht="12.75">
      <c r="A45" s="10">
        <v>38506</v>
      </c>
      <c r="C45" t="s">
        <v>195</v>
      </c>
      <c r="D45" s="1"/>
      <c r="E45" s="1">
        <v>30</v>
      </c>
      <c r="F45" s="1">
        <v>128.87</v>
      </c>
    </row>
    <row r="46" spans="1:6" ht="12.75">
      <c r="A46" s="10">
        <v>38506</v>
      </c>
      <c r="C46" t="s">
        <v>142</v>
      </c>
      <c r="D46" s="1"/>
      <c r="E46" s="1">
        <v>30</v>
      </c>
      <c r="F46" s="1">
        <v>158.87</v>
      </c>
    </row>
    <row r="47" spans="1:6" ht="12.75">
      <c r="A47" s="10">
        <v>38510</v>
      </c>
      <c r="C47" t="s">
        <v>214</v>
      </c>
      <c r="D47" s="1"/>
      <c r="E47" s="1">
        <v>30</v>
      </c>
      <c r="F47" s="1">
        <v>188.87</v>
      </c>
    </row>
    <row r="48" spans="1:6" ht="12.75">
      <c r="A48" s="10">
        <v>38511</v>
      </c>
      <c r="C48" t="s">
        <v>213</v>
      </c>
      <c r="D48" s="1"/>
      <c r="E48" s="1">
        <v>2100</v>
      </c>
      <c r="F48" s="1">
        <v>2288.87</v>
      </c>
    </row>
    <row r="49" spans="1:6" ht="13.5" thickBot="1">
      <c r="A49" s="32">
        <v>38519</v>
      </c>
      <c r="B49" s="13"/>
      <c r="C49" s="13" t="s">
        <v>212</v>
      </c>
      <c r="D49" s="33">
        <v>2164.2</v>
      </c>
      <c r="E49" s="33"/>
      <c r="F49" s="33">
        <v>124.67</v>
      </c>
    </row>
    <row r="50" spans="1:6" ht="13.5" thickTop="1">
      <c r="A50" s="145" t="s">
        <v>135</v>
      </c>
      <c r="D50" s="1">
        <f>SUM(D40:D49)</f>
        <v>2164.2</v>
      </c>
      <c r="E50" s="1">
        <f>SUM(E40:E49)</f>
        <v>2280</v>
      </c>
      <c r="F50" s="97">
        <f>F49</f>
        <v>124.67</v>
      </c>
    </row>
    <row r="51" ht="12.75">
      <c r="A51" s="10"/>
    </row>
    <row r="52" ht="12.75">
      <c r="A52" s="3" t="s">
        <v>211</v>
      </c>
    </row>
    <row r="53" spans="1:6" ht="12.75">
      <c r="A53" s="131" t="s">
        <v>2</v>
      </c>
      <c r="B53" s="131"/>
      <c r="C53" s="131" t="s">
        <v>3</v>
      </c>
      <c r="D53" s="144" t="s">
        <v>133</v>
      </c>
      <c r="E53" s="144" t="s">
        <v>134</v>
      </c>
      <c r="F53" s="144" t="s">
        <v>135</v>
      </c>
    </row>
    <row r="54" spans="1:6" ht="12.75">
      <c r="A54" s="10">
        <v>38534</v>
      </c>
      <c r="C54" t="s">
        <v>192</v>
      </c>
      <c r="E54">
        <v>30</v>
      </c>
      <c r="F54">
        <v>154.67</v>
      </c>
    </row>
    <row r="55" spans="1:6" ht="12.75">
      <c r="A55" s="10">
        <v>38534</v>
      </c>
      <c r="C55" t="s">
        <v>193</v>
      </c>
      <c r="E55">
        <v>30</v>
      </c>
      <c r="F55">
        <v>184.67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1"/>
  <sheetViews>
    <sheetView zoomScale="85" zoomScaleNormal="85" workbookViewId="0" topLeftCell="A1">
      <selection activeCell="K17" sqref="K17"/>
    </sheetView>
  </sheetViews>
  <sheetFormatPr defaultColWidth="9.140625" defaultRowHeight="12.75"/>
  <cols>
    <col min="1" max="1" width="0.85546875" style="0" customWidth="1"/>
    <col min="2" max="2" width="10.421875" style="0" customWidth="1"/>
    <col min="3" max="3" width="8.00390625" style="8" bestFit="1" customWidth="1"/>
    <col min="4" max="4" width="8.7109375" style="28" customWidth="1"/>
    <col min="5" max="5" width="20.140625" style="0" customWidth="1"/>
    <col min="6" max="6" width="8.421875" style="8" customWidth="1"/>
    <col min="7" max="7" width="8.8515625" style="8" customWidth="1"/>
    <col min="8" max="8" width="9.28125" style="8" bestFit="1" customWidth="1"/>
    <col min="9" max="9" width="9.28125" style="0" bestFit="1" customWidth="1"/>
    <col min="10" max="10" width="12.57421875" style="0" customWidth="1"/>
  </cols>
  <sheetData>
    <row r="1" spans="2:7" ht="12.75">
      <c r="B1" s="3" t="s">
        <v>132</v>
      </c>
      <c r="G1" s="78"/>
    </row>
    <row r="2" spans="2:8" ht="12.75">
      <c r="B2" s="131" t="s">
        <v>2</v>
      </c>
      <c r="C2" s="131" t="s">
        <v>152</v>
      </c>
      <c r="D2" s="132" t="s">
        <v>80</v>
      </c>
      <c r="E2" s="132" t="s">
        <v>153</v>
      </c>
      <c r="F2" s="132" t="s">
        <v>133</v>
      </c>
      <c r="G2" s="132" t="s">
        <v>134</v>
      </c>
      <c r="H2" s="132" t="s">
        <v>135</v>
      </c>
    </row>
    <row r="3" spans="2:9" ht="12.75">
      <c r="B3" s="27">
        <v>38443</v>
      </c>
      <c r="C3" s="78" t="s">
        <v>6</v>
      </c>
      <c r="E3" t="s">
        <v>154</v>
      </c>
      <c r="G3" s="9">
        <v>3.63</v>
      </c>
      <c r="H3" s="133">
        <f>3514.03-F3+G3</f>
        <v>3517.6600000000003</v>
      </c>
      <c r="I3" s="146">
        <v>3517.66</v>
      </c>
    </row>
    <row r="4" spans="2:8" ht="12.75">
      <c r="B4" s="27">
        <v>38457</v>
      </c>
      <c r="C4" s="78" t="s">
        <v>155</v>
      </c>
      <c r="D4" s="28" t="s">
        <v>156</v>
      </c>
      <c r="E4" t="s">
        <v>26</v>
      </c>
      <c r="G4" s="9">
        <v>20.7</v>
      </c>
      <c r="H4" s="133">
        <f aca="true" t="shared" si="0" ref="H4:H9">H3-F4+G4</f>
        <v>3538.36</v>
      </c>
    </row>
    <row r="5" spans="2:8" ht="12.75">
      <c r="B5" s="27">
        <v>38457</v>
      </c>
      <c r="C5" s="78" t="s">
        <v>155</v>
      </c>
      <c r="D5" s="28" t="s">
        <v>157</v>
      </c>
      <c r="E5" t="s">
        <v>27</v>
      </c>
      <c r="G5" s="9">
        <v>27.56</v>
      </c>
      <c r="H5" s="133">
        <f t="shared" si="0"/>
        <v>3565.92</v>
      </c>
    </row>
    <row r="6" spans="2:8" ht="12.75">
      <c r="B6" s="27">
        <v>38468</v>
      </c>
      <c r="C6" s="78" t="s">
        <v>158</v>
      </c>
      <c r="D6" s="28" t="s">
        <v>159</v>
      </c>
      <c r="E6" t="s">
        <v>28</v>
      </c>
      <c r="G6" s="9">
        <v>807.72</v>
      </c>
      <c r="H6" s="133">
        <f t="shared" si="0"/>
        <v>4373.64</v>
      </c>
    </row>
    <row r="7" spans="2:8" ht="12.75">
      <c r="B7" s="27">
        <v>38468</v>
      </c>
      <c r="C7" s="78" t="s">
        <v>158</v>
      </c>
      <c r="D7" s="28" t="s">
        <v>160</v>
      </c>
      <c r="E7" t="s">
        <v>29</v>
      </c>
      <c r="G7" s="9">
        <v>951.9</v>
      </c>
      <c r="H7" s="133">
        <f t="shared" si="0"/>
        <v>5325.54</v>
      </c>
    </row>
    <row r="8" spans="2:8" ht="12.75">
      <c r="B8" s="27">
        <v>38471</v>
      </c>
      <c r="C8" s="78" t="s">
        <v>158</v>
      </c>
      <c r="D8" s="28" t="s">
        <v>161</v>
      </c>
      <c r="E8" t="s">
        <v>30</v>
      </c>
      <c r="G8" s="9">
        <v>897.55</v>
      </c>
      <c r="H8" s="133">
        <f t="shared" si="0"/>
        <v>6223.09</v>
      </c>
    </row>
    <row r="9" spans="2:9" ht="13.5" customHeight="1" thickBot="1">
      <c r="B9" s="32">
        <v>38471</v>
      </c>
      <c r="C9" s="13" t="s">
        <v>158</v>
      </c>
      <c r="D9" s="147" t="s">
        <v>162</v>
      </c>
      <c r="E9" s="13" t="s">
        <v>31</v>
      </c>
      <c r="F9" s="34"/>
      <c r="G9" s="15">
        <v>988.73</v>
      </c>
      <c r="H9" s="148">
        <f t="shared" si="0"/>
        <v>7211.82</v>
      </c>
      <c r="I9" s="146">
        <v>7211.82</v>
      </c>
    </row>
    <row r="10" spans="2:8" ht="13.5" customHeight="1" thickTop="1">
      <c r="B10" s="149" t="s">
        <v>135</v>
      </c>
      <c r="H10" s="150">
        <f>H9</f>
        <v>7211.82</v>
      </c>
    </row>
    <row r="11" spans="2:8" ht="12.75">
      <c r="B11" s="149"/>
      <c r="H11" s="150"/>
    </row>
    <row r="12" spans="2:7" ht="12.75">
      <c r="B12" s="3" t="s">
        <v>163</v>
      </c>
      <c r="G12" s="78"/>
    </row>
    <row r="13" spans="2:8" ht="12.75">
      <c r="B13" s="131" t="s">
        <v>2</v>
      </c>
      <c r="C13" s="131" t="s">
        <v>152</v>
      </c>
      <c r="D13" s="132" t="s">
        <v>80</v>
      </c>
      <c r="E13" s="132" t="s">
        <v>153</v>
      </c>
      <c r="F13" s="132" t="s">
        <v>133</v>
      </c>
      <c r="G13" s="132" t="s">
        <v>134</v>
      </c>
      <c r="H13" s="132" t="s">
        <v>135</v>
      </c>
    </row>
    <row r="14" spans="2:8" ht="12.75">
      <c r="B14" s="27">
        <v>38475</v>
      </c>
      <c r="C14" s="78" t="s">
        <v>6</v>
      </c>
      <c r="E14" t="s">
        <v>154</v>
      </c>
      <c r="F14" s="9"/>
      <c r="G14" s="9">
        <v>2.51</v>
      </c>
      <c r="H14" s="133">
        <f>H10-F14+G14</f>
        <v>7214.33</v>
      </c>
    </row>
    <row r="15" spans="2:8" ht="12.75">
      <c r="B15" s="27">
        <v>38477</v>
      </c>
      <c r="C15" s="78" t="s">
        <v>155</v>
      </c>
      <c r="D15" s="28" t="s">
        <v>164</v>
      </c>
      <c r="E15" t="s">
        <v>33</v>
      </c>
      <c r="F15" s="9"/>
      <c r="G15" s="9">
        <v>13.83</v>
      </c>
      <c r="H15" s="133">
        <f>H14-F15+G15</f>
        <v>7228.16</v>
      </c>
    </row>
    <row r="16" spans="2:8" ht="12.75">
      <c r="B16" s="27">
        <v>38478</v>
      </c>
      <c r="C16" s="78" t="s">
        <v>155</v>
      </c>
      <c r="D16" s="28" t="s">
        <v>162</v>
      </c>
      <c r="E16" t="s">
        <v>31</v>
      </c>
      <c r="F16" s="9"/>
      <c r="G16" s="9">
        <v>37.73</v>
      </c>
      <c r="H16" s="133">
        <f>H15-F16+G16</f>
        <v>7265.889999999999</v>
      </c>
    </row>
    <row r="17" spans="2:9" ht="12.75">
      <c r="B17" s="27">
        <v>38479</v>
      </c>
      <c r="C17" s="78" t="s">
        <v>165</v>
      </c>
      <c r="E17" t="s">
        <v>166</v>
      </c>
      <c r="F17" s="9">
        <v>1400</v>
      </c>
      <c r="G17" s="9"/>
      <c r="H17" s="133">
        <f>H16-F17+G17</f>
        <v>5865.889999999999</v>
      </c>
      <c r="I17" s="146">
        <v>5865.89</v>
      </c>
    </row>
    <row r="18" spans="2:8" ht="12.75">
      <c r="B18" s="27">
        <v>38482</v>
      </c>
      <c r="C18" s="78" t="s">
        <v>182</v>
      </c>
      <c r="D18" s="28" t="s">
        <v>183</v>
      </c>
      <c r="E18" t="s">
        <v>186</v>
      </c>
      <c r="F18" s="9">
        <v>1995.22</v>
      </c>
      <c r="G18" s="9"/>
      <c r="H18" s="133">
        <f aca="true" t="shared" si="1" ref="H18:H23">H17-F18+G18</f>
        <v>3870.669999999999</v>
      </c>
    </row>
    <row r="19" spans="2:8" ht="12.75">
      <c r="B19" s="27">
        <v>38483</v>
      </c>
      <c r="C19" s="78" t="s">
        <v>155</v>
      </c>
      <c r="D19" s="28" t="s">
        <v>161</v>
      </c>
      <c r="E19" t="s">
        <v>185</v>
      </c>
      <c r="F19" s="9"/>
      <c r="G19" s="9">
        <v>31.68</v>
      </c>
      <c r="H19" s="133">
        <f t="shared" si="1"/>
        <v>3902.349999999999</v>
      </c>
    </row>
    <row r="20" spans="2:8" ht="12.75">
      <c r="B20" s="27">
        <v>38489</v>
      </c>
      <c r="C20" s="78" t="s">
        <v>155</v>
      </c>
      <c r="D20" s="28" t="s">
        <v>157</v>
      </c>
      <c r="E20" t="s">
        <v>27</v>
      </c>
      <c r="F20" s="9"/>
      <c r="G20" s="9">
        <v>16.53</v>
      </c>
      <c r="H20" s="133">
        <f t="shared" si="1"/>
        <v>3918.879999999999</v>
      </c>
    </row>
    <row r="21" spans="2:8" ht="12.75">
      <c r="B21" s="27">
        <v>38492</v>
      </c>
      <c r="C21" s="78" t="s">
        <v>181</v>
      </c>
      <c r="D21" s="28" t="s">
        <v>178</v>
      </c>
      <c r="E21" t="s">
        <v>184</v>
      </c>
      <c r="F21" s="9"/>
      <c r="G21" s="9">
        <v>0</v>
      </c>
      <c r="H21" s="133">
        <f t="shared" si="1"/>
        <v>3918.879999999999</v>
      </c>
    </row>
    <row r="22" spans="2:8" ht="12.75">
      <c r="B22" s="27">
        <v>38492</v>
      </c>
      <c r="C22" s="78" t="s">
        <v>179</v>
      </c>
      <c r="D22" s="28" t="s">
        <v>180</v>
      </c>
      <c r="E22" t="s">
        <v>184</v>
      </c>
      <c r="F22" s="9">
        <v>0</v>
      </c>
      <c r="G22" s="9"/>
      <c r="H22" s="133">
        <f t="shared" si="1"/>
        <v>3918.879999999999</v>
      </c>
    </row>
    <row r="23" spans="2:8" ht="13.5" thickBot="1">
      <c r="B23" s="32">
        <v>38498</v>
      </c>
      <c r="C23" s="165" t="s">
        <v>155</v>
      </c>
      <c r="D23" s="147" t="s">
        <v>178</v>
      </c>
      <c r="E23" s="13" t="s">
        <v>184</v>
      </c>
      <c r="F23" s="15"/>
      <c r="G23" s="15">
        <v>147.15</v>
      </c>
      <c r="H23" s="148">
        <f t="shared" si="1"/>
        <v>4066.0299999999993</v>
      </c>
    </row>
    <row r="24" spans="2:8" ht="13.5" thickTop="1">
      <c r="B24" s="27"/>
      <c r="C24" s="78"/>
      <c r="F24" s="9"/>
      <c r="G24" s="9"/>
      <c r="H24" s="150">
        <f>H23</f>
        <v>4066.0299999999993</v>
      </c>
    </row>
    <row r="26" spans="2:7" ht="12.75">
      <c r="B26" s="3" t="s">
        <v>187</v>
      </c>
      <c r="G26" s="78"/>
    </row>
    <row r="27" spans="2:11" ht="25.5">
      <c r="B27" s="131" t="s">
        <v>2</v>
      </c>
      <c r="C27" s="131" t="s">
        <v>152</v>
      </c>
      <c r="D27" s="132" t="s">
        <v>80</v>
      </c>
      <c r="E27" s="132" t="s">
        <v>153</v>
      </c>
      <c r="F27" s="132" t="s">
        <v>133</v>
      </c>
      <c r="G27" s="132" t="s">
        <v>134</v>
      </c>
      <c r="H27" s="132" t="s">
        <v>135</v>
      </c>
      <c r="K27" t="s">
        <v>199</v>
      </c>
    </row>
    <row r="28" spans="2:11" ht="12.75">
      <c r="B28" s="27">
        <v>38504</v>
      </c>
      <c r="C28" s="78" t="s">
        <v>6</v>
      </c>
      <c r="E28" t="s">
        <v>154</v>
      </c>
      <c r="F28" s="9"/>
      <c r="G28" s="9">
        <v>3.65</v>
      </c>
      <c r="H28" s="133">
        <f>H24-F28+G28</f>
        <v>4069.6799999999994</v>
      </c>
      <c r="I28" s="146">
        <v>4069.68</v>
      </c>
      <c r="K28" t="s">
        <v>200</v>
      </c>
    </row>
    <row r="29" spans="2:11" ht="12.75">
      <c r="B29" s="27">
        <v>38507</v>
      </c>
      <c r="C29" s="78" t="s">
        <v>165</v>
      </c>
      <c r="D29" s="78"/>
      <c r="E29" s="78" t="s">
        <v>206</v>
      </c>
      <c r="F29" s="9">
        <v>2100</v>
      </c>
      <c r="H29" s="133">
        <f>H28-F29+G29</f>
        <v>1969.6799999999994</v>
      </c>
      <c r="K29" t="s">
        <v>201</v>
      </c>
    </row>
    <row r="30" spans="2:11" ht="12.75">
      <c r="B30" s="27">
        <v>38523</v>
      </c>
      <c r="C30" s="167" t="s">
        <v>207</v>
      </c>
      <c r="D30" s="28">
        <v>2000</v>
      </c>
      <c r="E30" s="167" t="s">
        <v>177</v>
      </c>
      <c r="F30" s="9"/>
      <c r="G30" s="9">
        <v>164.1</v>
      </c>
      <c r="H30" s="133">
        <f>H29-F30+G30</f>
        <v>2133.7799999999993</v>
      </c>
      <c r="I30" s="146">
        <v>2133.78</v>
      </c>
      <c r="K30" t="s">
        <v>202</v>
      </c>
    </row>
    <row r="31" spans="2:11" ht="13.5" thickBot="1">
      <c r="B31" s="32">
        <v>38531</v>
      </c>
      <c r="C31" s="168" t="s">
        <v>155</v>
      </c>
      <c r="D31" s="147" t="s">
        <v>209</v>
      </c>
      <c r="E31" s="168" t="s">
        <v>210</v>
      </c>
      <c r="F31" s="34"/>
      <c r="G31" s="15">
        <v>17.9</v>
      </c>
      <c r="H31" s="148">
        <f>H30-F31+G31</f>
        <v>2151.6799999999994</v>
      </c>
      <c r="K31" t="s">
        <v>203</v>
      </c>
    </row>
    <row r="32" spans="2:11" ht="13.5" thickTop="1">
      <c r="B32" s="27"/>
      <c r="C32" s="78"/>
      <c r="F32" s="9"/>
      <c r="G32" s="9"/>
      <c r="H32" s="150">
        <f>H31</f>
        <v>2151.6799999999994</v>
      </c>
      <c r="K32" t="s">
        <v>204</v>
      </c>
    </row>
    <row r="33" spans="5:11" ht="12.75">
      <c r="E33" s="8"/>
      <c r="H33" s="78"/>
      <c r="K33" t="s">
        <v>205</v>
      </c>
    </row>
    <row r="34" spans="5:8" ht="12.75">
      <c r="E34" s="8"/>
      <c r="H34" s="78"/>
    </row>
    <row r="35" spans="2:7" ht="12.75">
      <c r="B35" s="3" t="s">
        <v>211</v>
      </c>
      <c r="G35" s="78"/>
    </row>
    <row r="36" spans="2:8" ht="25.5">
      <c r="B36" s="131" t="s">
        <v>2</v>
      </c>
      <c r="C36" s="131" t="s">
        <v>152</v>
      </c>
      <c r="D36" s="132" t="s">
        <v>80</v>
      </c>
      <c r="E36" s="132" t="s">
        <v>153</v>
      </c>
      <c r="F36" s="132" t="s">
        <v>133</v>
      </c>
      <c r="G36" s="132" t="s">
        <v>134</v>
      </c>
      <c r="H36" s="132" t="s">
        <v>135</v>
      </c>
    </row>
    <row r="37" spans="2:9" ht="12.75">
      <c r="B37" s="27">
        <v>38534</v>
      </c>
      <c r="C37" s="167" t="s">
        <v>6</v>
      </c>
      <c r="E37" s="167" t="s">
        <v>154</v>
      </c>
      <c r="F37" s="9"/>
      <c r="G37" s="9">
        <v>1.56</v>
      </c>
      <c r="H37" s="133">
        <f>H32-F37+G37</f>
        <v>2153.2399999999993</v>
      </c>
      <c r="I37" s="146">
        <v>2153.24</v>
      </c>
    </row>
    <row r="38" spans="5:8" ht="12.75">
      <c r="E38" s="8"/>
      <c r="H38" s="78"/>
    </row>
    <row r="39" spans="5:8" ht="12.75">
      <c r="E39" s="8"/>
      <c r="H39" s="78"/>
    </row>
    <row r="40" spans="5:8" ht="12.75">
      <c r="E40" s="8"/>
      <c r="H40" s="78"/>
    </row>
    <row r="41" spans="5:8" ht="12.75">
      <c r="E41" s="8"/>
      <c r="H41" s="78"/>
    </row>
    <row r="42" spans="5:8" ht="12.75">
      <c r="E42" s="8"/>
      <c r="H42" s="78"/>
    </row>
    <row r="43" spans="5:8" ht="12.75">
      <c r="E43" s="8"/>
      <c r="H43" s="78"/>
    </row>
    <row r="44" spans="5:8" ht="12.75">
      <c r="E44" s="8"/>
      <c r="H44" s="78"/>
    </row>
    <row r="45" spans="5:8" ht="12.75">
      <c r="E45" s="8"/>
      <c r="H45" s="78"/>
    </row>
    <row r="46" spans="5:8" ht="12.75">
      <c r="E46" s="8"/>
      <c r="H46" s="78"/>
    </row>
    <row r="47" spans="5:8" ht="12.75">
      <c r="E47" s="8"/>
      <c r="H47" s="78"/>
    </row>
    <row r="48" spans="5:8" ht="12.75">
      <c r="E48" s="8"/>
      <c r="H48" s="78"/>
    </row>
    <row r="49" spans="5:8" ht="12.75">
      <c r="E49" s="8"/>
      <c r="H49" s="78"/>
    </row>
    <row r="50" spans="5:8" ht="12.75">
      <c r="E50" s="8"/>
      <c r="H50" s="78"/>
    </row>
    <row r="51" spans="5:8" ht="12.75">
      <c r="E51" s="8"/>
      <c r="H51" s="7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6"/>
  <sheetViews>
    <sheetView zoomScale="80" zoomScaleNormal="80" workbookViewId="0" topLeftCell="A1">
      <pane xSplit="1" ySplit="1" topLeftCell="BI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P39" sqref="BP39"/>
    </sheetView>
  </sheetViews>
  <sheetFormatPr defaultColWidth="9.140625" defaultRowHeight="12.75"/>
  <cols>
    <col min="1" max="1" width="12.7109375" style="0" bestFit="1" customWidth="1"/>
    <col min="2" max="23" width="8.00390625" style="0" bestFit="1" customWidth="1"/>
    <col min="24" max="24" width="8.140625" style="0" bestFit="1" customWidth="1"/>
    <col min="25" max="25" width="8.00390625" style="0" bestFit="1" customWidth="1"/>
    <col min="26" max="26" width="8.57421875" style="0" customWidth="1"/>
    <col min="27" max="31" width="8.7109375" style="0" bestFit="1" customWidth="1"/>
    <col min="32" max="33" width="9.28125" style="0" bestFit="1" customWidth="1"/>
    <col min="34" max="34" width="8.7109375" style="82" bestFit="1" customWidth="1"/>
    <col min="35" max="36" width="9.28125" style="82" bestFit="1" customWidth="1"/>
    <col min="37" max="40" width="9.28125" style="0" bestFit="1" customWidth="1"/>
    <col min="43" max="51" width="9.28125" style="0" bestFit="1" customWidth="1"/>
    <col min="52" max="59" width="9.28125" style="16" bestFit="1" customWidth="1"/>
    <col min="60" max="60" width="9.28125" style="0" bestFit="1" customWidth="1"/>
    <col min="62" max="62" width="9.57421875" style="0" customWidth="1"/>
    <col min="63" max="66" width="9.28125" style="0" bestFit="1" customWidth="1"/>
    <col min="68" max="69" width="9.28125" style="0" bestFit="1" customWidth="1"/>
    <col min="70" max="70" width="9.00390625" style="0" customWidth="1"/>
    <col min="71" max="71" width="9.28125" style="0" bestFit="1" customWidth="1"/>
  </cols>
  <sheetData>
    <row r="1" spans="2:74" s="8" customFormat="1" ht="12.75">
      <c r="B1" s="151">
        <v>36312</v>
      </c>
      <c r="C1" s="151">
        <v>36342</v>
      </c>
      <c r="D1" s="151">
        <v>36373</v>
      </c>
      <c r="E1" s="151">
        <v>36404</v>
      </c>
      <c r="F1" s="151">
        <v>36434</v>
      </c>
      <c r="G1" s="151">
        <v>36465</v>
      </c>
      <c r="H1" s="151">
        <v>36495</v>
      </c>
      <c r="I1" s="151">
        <v>36526</v>
      </c>
      <c r="J1" s="151">
        <v>36557</v>
      </c>
      <c r="K1" s="151">
        <v>36586</v>
      </c>
      <c r="L1" s="151">
        <v>36617</v>
      </c>
      <c r="M1" s="151">
        <v>36647</v>
      </c>
      <c r="N1" s="151">
        <v>36678</v>
      </c>
      <c r="O1" s="151">
        <v>36708</v>
      </c>
      <c r="P1" s="151">
        <v>36739</v>
      </c>
      <c r="Q1" s="151">
        <v>36770</v>
      </c>
      <c r="R1" s="151">
        <v>36800</v>
      </c>
      <c r="S1" s="151">
        <v>36831</v>
      </c>
      <c r="T1" s="151">
        <v>36861</v>
      </c>
      <c r="U1" s="151">
        <v>36892</v>
      </c>
      <c r="V1" s="151">
        <v>36923</v>
      </c>
      <c r="W1" s="151">
        <v>36951</v>
      </c>
      <c r="X1" s="151">
        <v>36982</v>
      </c>
      <c r="Y1" s="151">
        <v>37012</v>
      </c>
      <c r="Z1" s="151">
        <v>37043</v>
      </c>
      <c r="AA1" s="151">
        <v>37073</v>
      </c>
      <c r="AB1" s="151">
        <v>37104</v>
      </c>
      <c r="AC1" s="151">
        <v>37135</v>
      </c>
      <c r="AD1" s="151">
        <v>37165</v>
      </c>
      <c r="AE1" s="151">
        <v>37196</v>
      </c>
      <c r="AF1" s="151">
        <v>37226</v>
      </c>
      <c r="AG1" s="151">
        <v>37257</v>
      </c>
      <c r="AH1" s="152">
        <v>37288</v>
      </c>
      <c r="AI1" s="152">
        <v>37316</v>
      </c>
      <c r="AJ1" s="152">
        <v>37347</v>
      </c>
      <c r="AK1" s="152">
        <v>37377</v>
      </c>
      <c r="AL1" s="152">
        <v>37408</v>
      </c>
      <c r="AM1" s="152">
        <v>37438</v>
      </c>
      <c r="AN1" s="152">
        <v>37469</v>
      </c>
      <c r="AO1" s="152">
        <v>37500</v>
      </c>
      <c r="AP1" s="152">
        <v>37530</v>
      </c>
      <c r="AQ1" s="152">
        <v>37561</v>
      </c>
      <c r="AR1" s="152">
        <v>37591</v>
      </c>
      <c r="AS1" s="152">
        <v>37622</v>
      </c>
      <c r="AT1" s="152">
        <v>37653</v>
      </c>
      <c r="AU1" s="152">
        <v>37681</v>
      </c>
      <c r="AV1" s="152">
        <v>37712</v>
      </c>
      <c r="AW1" s="152">
        <v>37742</v>
      </c>
      <c r="AX1" s="152">
        <v>37773</v>
      </c>
      <c r="AY1" s="152">
        <v>37803</v>
      </c>
      <c r="AZ1" s="152">
        <v>37834</v>
      </c>
      <c r="BA1" s="152">
        <v>37865</v>
      </c>
      <c r="BB1" s="152">
        <v>37895</v>
      </c>
      <c r="BC1" s="152">
        <v>37926</v>
      </c>
      <c r="BD1" s="152">
        <v>37956</v>
      </c>
      <c r="BE1" s="152">
        <v>37987</v>
      </c>
      <c r="BF1" s="152">
        <v>38018</v>
      </c>
      <c r="BG1" s="152">
        <v>38047</v>
      </c>
      <c r="BH1" s="152">
        <v>38078</v>
      </c>
      <c r="BI1" s="151">
        <v>38108</v>
      </c>
      <c r="BJ1" s="151">
        <v>38139</v>
      </c>
      <c r="BK1" s="151">
        <v>38169</v>
      </c>
      <c r="BL1" s="151">
        <v>38200</v>
      </c>
      <c r="BM1" s="151">
        <v>38231</v>
      </c>
      <c r="BN1" s="151">
        <v>38261</v>
      </c>
      <c r="BO1" s="151">
        <v>38292</v>
      </c>
      <c r="BP1" s="151">
        <v>38322</v>
      </c>
      <c r="BQ1" s="151">
        <v>38353</v>
      </c>
      <c r="BR1" s="151">
        <v>38384</v>
      </c>
      <c r="BS1" s="151">
        <v>38412</v>
      </c>
      <c r="BT1" s="151">
        <v>38443</v>
      </c>
      <c r="BU1" s="151">
        <v>38473</v>
      </c>
      <c r="BV1" s="151">
        <v>38504</v>
      </c>
    </row>
    <row r="2" spans="1:74" ht="12.75">
      <c r="A2" t="s">
        <v>167</v>
      </c>
      <c r="B2" s="153">
        <v>800</v>
      </c>
      <c r="C2" s="153">
        <v>800.01</v>
      </c>
      <c r="D2" s="153">
        <v>1100.06</v>
      </c>
      <c r="E2" s="153">
        <v>898.35</v>
      </c>
      <c r="F2" s="153">
        <v>680.7</v>
      </c>
      <c r="G2" s="153">
        <v>462.78</v>
      </c>
      <c r="H2" s="153">
        <v>252.93</v>
      </c>
      <c r="I2" s="153">
        <v>1593.83</v>
      </c>
      <c r="J2" s="153">
        <v>1281.26</v>
      </c>
      <c r="K2" s="153">
        <v>1644.98</v>
      </c>
      <c r="L2" s="153">
        <v>1197.95</v>
      </c>
      <c r="M2" s="153">
        <v>103.44</v>
      </c>
      <c r="N2" s="154">
        <v>765.24</v>
      </c>
      <c r="O2" s="153">
        <v>272.04</v>
      </c>
      <c r="P2" s="153">
        <v>3092.16</v>
      </c>
      <c r="Q2" s="153">
        <v>1606.71</v>
      </c>
      <c r="R2" s="1">
        <v>1060.33</v>
      </c>
      <c r="S2" s="1">
        <v>2040.28</v>
      </c>
      <c r="T2" s="1">
        <v>604.44</v>
      </c>
      <c r="U2" s="1">
        <v>3147.48</v>
      </c>
      <c r="V2">
        <v>1122.46</v>
      </c>
      <c r="W2" s="1">
        <v>4377.65</v>
      </c>
      <c r="X2" s="1">
        <v>1697.41</v>
      </c>
      <c r="Y2" s="1">
        <v>2217.42</v>
      </c>
      <c r="Z2" s="1">
        <v>4651.11</v>
      </c>
      <c r="AA2" s="1">
        <v>5567.17</v>
      </c>
      <c r="AB2" s="1">
        <v>2488.07</v>
      </c>
      <c r="AC2" s="1">
        <v>3785.91</v>
      </c>
      <c r="AD2" s="118">
        <v>2857.17</v>
      </c>
      <c r="AE2" s="118">
        <v>2434.59</v>
      </c>
      <c r="AF2" s="118">
        <v>3983.82</v>
      </c>
      <c r="AG2" s="118">
        <v>5217.13</v>
      </c>
      <c r="AH2" s="118">
        <v>4413.48</v>
      </c>
      <c r="AI2" s="118">
        <v>743.7099999999994</v>
      </c>
      <c r="AJ2" s="118">
        <v>2380.34</v>
      </c>
      <c r="AK2" s="118">
        <v>3903.28</v>
      </c>
      <c r="AL2" s="118">
        <v>4092.48</v>
      </c>
      <c r="AM2" s="118">
        <v>5430.73</v>
      </c>
      <c r="AN2" s="118">
        <v>5864.71</v>
      </c>
      <c r="AO2" s="118">
        <v>4829.16</v>
      </c>
      <c r="AP2" s="118">
        <v>3664.86</v>
      </c>
      <c r="AQ2" s="118">
        <v>4050.29</v>
      </c>
      <c r="AR2" s="118">
        <v>4157.23</v>
      </c>
      <c r="AS2" s="118">
        <v>3521.81</v>
      </c>
      <c r="AT2" s="118">
        <v>4044.73</v>
      </c>
      <c r="AU2" s="118">
        <v>3567.98</v>
      </c>
      <c r="AV2" s="1">
        <v>2669.74</v>
      </c>
      <c r="AW2" s="1">
        <v>4191.29</v>
      </c>
      <c r="AX2" s="1">
        <v>6614.23</v>
      </c>
      <c r="AY2" s="1">
        <v>7021.59</v>
      </c>
      <c r="AZ2" s="63">
        <v>5410.88</v>
      </c>
      <c r="BA2" s="63">
        <v>7328.32</v>
      </c>
      <c r="BB2" s="63">
        <v>7870.58</v>
      </c>
      <c r="BC2" s="63">
        <v>4817.71</v>
      </c>
      <c r="BD2" s="63">
        <v>1704.75</v>
      </c>
      <c r="BE2" s="63">
        <v>1704.27</v>
      </c>
      <c r="BF2" s="63">
        <v>2247</v>
      </c>
      <c r="BG2" s="63">
        <v>5154.88</v>
      </c>
      <c r="BH2" s="63">
        <v>2507.53</v>
      </c>
      <c r="BI2" s="1">
        <v>2898.08</v>
      </c>
      <c r="BJ2" s="1">
        <v>4097.64</v>
      </c>
      <c r="BK2" s="1">
        <v>3545.5</v>
      </c>
      <c r="BL2" s="1">
        <v>3927.97</v>
      </c>
      <c r="BM2" s="1">
        <v>4603.27</v>
      </c>
      <c r="BN2" s="1">
        <v>4138.79</v>
      </c>
      <c r="BO2" s="1">
        <v>1051.17</v>
      </c>
      <c r="BP2" s="1">
        <v>3398.12</v>
      </c>
      <c r="BQ2" s="1">
        <v>7173.43</v>
      </c>
      <c r="BR2" s="1">
        <v>5395.16</v>
      </c>
      <c r="BS2" s="1">
        <v>3547.9</v>
      </c>
      <c r="BT2" s="1">
        <f>Cash!N7</f>
        <v>7485.6900000000005</v>
      </c>
      <c r="BU2" s="1">
        <f>Cash!N29</f>
        <v>4074.1499999999996</v>
      </c>
      <c r="BV2" s="1">
        <f>Cash!N45</f>
        <v>2275.5999999999995</v>
      </c>
    </row>
    <row r="3" spans="1:73" ht="12.75">
      <c r="A3" t="str">
        <f>"Eckoch"</f>
        <v>Eckoch</v>
      </c>
      <c r="B3" s="153"/>
      <c r="C3" s="153"/>
      <c r="D3" s="153"/>
      <c r="E3" s="153"/>
      <c r="F3" s="153"/>
      <c r="G3" s="153"/>
      <c r="H3" s="153">
        <v>501.02</v>
      </c>
      <c r="I3" s="153">
        <v>478.08</v>
      </c>
      <c r="J3" s="153">
        <v>496.19</v>
      </c>
      <c r="K3" s="153">
        <v>503.43</v>
      </c>
      <c r="L3" s="153">
        <v>302.6</v>
      </c>
      <c r="M3" s="153">
        <v>203.38</v>
      </c>
      <c r="N3" s="153">
        <v>157.4</v>
      </c>
      <c r="O3" s="153">
        <v>142.88</v>
      </c>
      <c r="P3" s="153">
        <v>184.02</v>
      </c>
      <c r="Q3" s="153">
        <v>130.78</v>
      </c>
      <c r="R3" s="1">
        <v>121.1</v>
      </c>
      <c r="S3" s="1">
        <v>94.48</v>
      </c>
      <c r="T3" s="1">
        <v>55.76</v>
      </c>
      <c r="U3" s="1">
        <v>77.54</v>
      </c>
      <c r="V3" s="1">
        <v>63.02</v>
      </c>
      <c r="W3" s="1">
        <v>40.03</v>
      </c>
      <c r="X3" s="1">
        <v>27.93</v>
      </c>
      <c r="Y3" s="1">
        <v>27.93</v>
      </c>
      <c r="Z3" s="1">
        <v>15.83</v>
      </c>
      <c r="AA3" s="1">
        <v>20.67</v>
      </c>
      <c r="AB3" s="1">
        <v>20.67</v>
      </c>
      <c r="AC3" s="1">
        <v>9.78</v>
      </c>
      <c r="AD3" s="118">
        <v>7.36</v>
      </c>
      <c r="AE3" s="118">
        <v>7.36</v>
      </c>
      <c r="AF3" s="118">
        <v>1.31</v>
      </c>
      <c r="AG3" s="118">
        <v>-1.11</v>
      </c>
      <c r="AH3" s="118">
        <v>1.31</v>
      </c>
      <c r="AI3" s="118">
        <v>2.52</v>
      </c>
      <c r="AJ3" s="118">
        <v>2.52</v>
      </c>
      <c r="AK3" s="118">
        <v>8.57</v>
      </c>
      <c r="AL3" s="118">
        <v>-1.11</v>
      </c>
      <c r="AM3" s="118">
        <v>1.31</v>
      </c>
      <c r="AN3" s="118">
        <v>3.73</v>
      </c>
      <c r="AO3" s="118">
        <v>1.31</v>
      </c>
      <c r="AP3" s="118">
        <v>4.94</v>
      </c>
      <c r="AQ3" s="118">
        <v>16.44</v>
      </c>
      <c r="AR3" s="118">
        <v>248</v>
      </c>
      <c r="AS3" s="118">
        <v>208</v>
      </c>
      <c r="AT3" s="118">
        <v>228</v>
      </c>
      <c r="AU3" s="118">
        <v>212.5</v>
      </c>
      <c r="AV3" s="1">
        <v>262.5</v>
      </c>
      <c r="AW3" s="1">
        <v>247.5</v>
      </c>
      <c r="AX3" s="1">
        <v>232.5</v>
      </c>
      <c r="AY3" s="1">
        <v>242.5</v>
      </c>
      <c r="AZ3" s="9">
        <v>272.5</v>
      </c>
      <c r="BA3" s="9">
        <v>232.5</v>
      </c>
      <c r="BB3" s="9">
        <v>357.5</v>
      </c>
      <c r="BC3" s="9">
        <v>327.5</v>
      </c>
      <c r="BD3" s="9">
        <v>287.5</v>
      </c>
      <c r="BE3" s="9">
        <v>312.5</v>
      </c>
      <c r="BF3" s="9">
        <v>297.5</v>
      </c>
      <c r="BG3" s="9">
        <v>222.5</v>
      </c>
      <c r="BH3" s="9">
        <v>207.5</v>
      </c>
      <c r="BI3" s="1">
        <v>202.5</v>
      </c>
      <c r="BJ3" s="1">
        <v>190.1</v>
      </c>
      <c r="BK3" s="1">
        <v>167.5</v>
      </c>
      <c r="BL3" s="1">
        <v>155.1</v>
      </c>
      <c r="BM3" s="1">
        <v>142.5</v>
      </c>
      <c r="BN3" s="1">
        <v>162.5</v>
      </c>
      <c r="BO3" s="1">
        <v>205.1</v>
      </c>
      <c r="BP3" s="1">
        <v>142.5</v>
      </c>
      <c r="BQ3" s="1">
        <v>147.5</v>
      </c>
      <c r="BR3" s="1">
        <v>154.1</v>
      </c>
      <c r="BS3" s="1">
        <v>172.5</v>
      </c>
      <c r="BT3" s="1">
        <f>Assets!F4</f>
        <v>167.5</v>
      </c>
      <c r="BU3" s="1">
        <f>Assets!F28</f>
        <v>167.5</v>
      </c>
    </row>
    <row r="4" spans="1:74" ht="12.75">
      <c r="A4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"/>
      <c r="S4" s="1"/>
      <c r="T4" s="1"/>
      <c r="U4" s="1"/>
      <c r="V4" s="1"/>
      <c r="X4" s="7"/>
      <c r="Y4" s="1"/>
      <c r="Z4" s="1"/>
      <c r="AA4" s="1"/>
      <c r="AB4" s="1">
        <v>994.61</v>
      </c>
      <c r="AC4" s="1">
        <v>893.25</v>
      </c>
      <c r="AD4" s="118">
        <v>895.8</v>
      </c>
      <c r="AE4" s="118">
        <v>861.38</v>
      </c>
      <c r="AF4" s="118">
        <v>893.25</v>
      </c>
      <c r="AG4" s="118">
        <v>863.29</v>
      </c>
      <c r="AH4" s="118">
        <v>893.89</v>
      </c>
      <c r="AI4" s="118">
        <v>972.3</v>
      </c>
      <c r="AJ4" s="118">
        <v>1010.55</v>
      </c>
      <c r="AK4" s="118">
        <v>1039.24</v>
      </c>
      <c r="AL4" s="118">
        <v>1087.05</v>
      </c>
      <c r="AM4" s="118">
        <v>867.75</v>
      </c>
      <c r="AN4" s="118">
        <v>969.75</v>
      </c>
      <c r="AO4" s="118">
        <v>933.41</v>
      </c>
      <c r="AP4" s="118">
        <v>1881.83</v>
      </c>
      <c r="AQ4" s="118">
        <v>1847.74</v>
      </c>
      <c r="AR4" s="118">
        <v>2092.66</v>
      </c>
      <c r="AS4" s="118">
        <v>2015.65</v>
      </c>
      <c r="AT4" s="118">
        <v>2047.21</v>
      </c>
      <c r="AU4" s="118">
        <v>2028.91</v>
      </c>
      <c r="AV4" s="1">
        <v>2066.79</v>
      </c>
      <c r="AW4" s="1">
        <v>2193.04</v>
      </c>
      <c r="AX4" s="1">
        <v>2146.33</v>
      </c>
      <c r="AY4" s="1">
        <v>2217.03</v>
      </c>
      <c r="AZ4" s="9">
        <v>2052.9</v>
      </c>
      <c r="BA4" s="9">
        <v>2126.18</v>
      </c>
      <c r="BB4" s="9">
        <v>2224.65</v>
      </c>
      <c r="BC4" s="9">
        <v>2262.53</v>
      </c>
      <c r="BD4" s="9">
        <v>2344.59</v>
      </c>
      <c r="BE4" s="9">
        <v>2186.78</v>
      </c>
      <c r="BF4" s="9">
        <v>2242.33</v>
      </c>
      <c r="BG4" s="9">
        <v>2286.51</v>
      </c>
      <c r="BH4" s="9">
        <v>2330.7</v>
      </c>
      <c r="BI4" s="1">
        <v>2465.79</v>
      </c>
      <c r="BJ4" s="1">
        <v>2517.55</v>
      </c>
      <c r="BK4" s="1">
        <v>2593.3</v>
      </c>
      <c r="BL4" s="1">
        <v>2651.38</v>
      </c>
      <c r="BM4" s="1">
        <v>1305.6</v>
      </c>
      <c r="BN4" s="1">
        <v>1353.38</v>
      </c>
      <c r="BO4" s="1">
        <v>1361.95</v>
      </c>
      <c r="BP4" s="1">
        <v>1527.33</v>
      </c>
      <c r="BQ4" s="1">
        <v>1540.8</v>
      </c>
      <c r="BR4" s="1">
        <v>1464.85</v>
      </c>
      <c r="BS4" s="1">
        <v>1466.08</v>
      </c>
      <c r="BT4" s="1">
        <f>Assets!F7</f>
        <v>1534.68</v>
      </c>
      <c r="BU4" s="1">
        <f>Assets!F31</f>
        <v>1559.18</v>
      </c>
      <c r="BV4" s="1">
        <f>Assets!F55</f>
        <v>1691.48</v>
      </c>
    </row>
    <row r="5" spans="1:74" ht="12.75">
      <c r="A5" t="s">
        <v>168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"/>
      <c r="S5" s="1"/>
      <c r="T5" s="1"/>
      <c r="U5" s="1"/>
      <c r="V5" s="1"/>
      <c r="X5" s="7"/>
      <c r="Y5" s="1"/>
      <c r="Z5" s="1"/>
      <c r="AA5" s="1"/>
      <c r="AB5" s="1"/>
      <c r="AC5" s="1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"/>
      <c r="AW5" s="1"/>
      <c r="AX5" s="1">
        <v>554.49</v>
      </c>
      <c r="AY5" s="1">
        <v>581.66</v>
      </c>
      <c r="AZ5" s="9">
        <v>600.25</v>
      </c>
      <c r="BA5" s="9">
        <v>580.95</v>
      </c>
      <c r="BB5" s="9">
        <v>580.95</v>
      </c>
      <c r="BC5" s="9">
        <v>595.25</v>
      </c>
      <c r="BD5" s="9">
        <v>652.45</v>
      </c>
      <c r="BE5" s="9">
        <v>678.19</v>
      </c>
      <c r="BF5" s="9">
        <v>673.9</v>
      </c>
      <c r="BG5" s="9">
        <v>666.75</v>
      </c>
      <c r="BH5" s="9">
        <v>673.9</v>
      </c>
      <c r="BI5" s="1">
        <v>706.08</v>
      </c>
      <c r="BJ5" s="1">
        <v>748.26</v>
      </c>
      <c r="BK5" s="1">
        <v>709.65</v>
      </c>
      <c r="BL5" s="1">
        <v>709.65</v>
      </c>
      <c r="BM5" s="1">
        <v>705.36</v>
      </c>
      <c r="BN5" s="1">
        <v>738.25</v>
      </c>
      <c r="BO5" s="1">
        <v>770.43</v>
      </c>
      <c r="BP5" s="1">
        <v>774</v>
      </c>
      <c r="BQ5" s="1">
        <v>820.48</v>
      </c>
      <c r="BR5" s="1">
        <v>895.55</v>
      </c>
      <c r="BS5" s="1">
        <v>919.86</v>
      </c>
      <c r="BT5" s="1">
        <f>Assets!F5</f>
        <v>942.74</v>
      </c>
      <c r="BU5" s="1">
        <f>Assets!F29</f>
        <v>902.7</v>
      </c>
      <c r="BV5" s="1">
        <f>Assets!F53</f>
        <v>952.75</v>
      </c>
    </row>
    <row r="6" spans="1:74" ht="12.75">
      <c r="A6" t="s">
        <v>169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"/>
      <c r="S6" s="1"/>
      <c r="T6" s="1"/>
      <c r="U6" s="1"/>
      <c r="V6" s="1"/>
      <c r="X6" s="7"/>
      <c r="Y6" s="1"/>
      <c r="Z6" s="1"/>
      <c r="AA6" s="1"/>
      <c r="AB6" s="1"/>
      <c r="AC6" s="1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"/>
      <c r="AW6" s="1"/>
      <c r="AX6" s="1"/>
      <c r="AY6" s="1"/>
      <c r="AZ6" s="9"/>
      <c r="BA6" s="9"/>
      <c r="BB6" s="9"/>
      <c r="BC6" s="9">
        <v>871.75</v>
      </c>
      <c r="BD6" s="9">
        <v>626.13</v>
      </c>
      <c r="BE6" s="9">
        <v>601.56</v>
      </c>
      <c r="BF6" s="9">
        <v>577</v>
      </c>
      <c r="BG6" s="9">
        <v>503.31</v>
      </c>
      <c r="BH6" s="9">
        <v>478.75</v>
      </c>
      <c r="BI6" s="1">
        <v>540.65</v>
      </c>
      <c r="BJ6" s="1">
        <v>540.65</v>
      </c>
      <c r="BK6" s="1">
        <v>491.52</v>
      </c>
      <c r="BL6" s="1">
        <v>442.4</v>
      </c>
      <c r="BM6" s="1">
        <v>429.63</v>
      </c>
      <c r="BN6" s="1">
        <v>454.19</v>
      </c>
      <c r="BO6" s="1">
        <v>416.85</v>
      </c>
      <c r="BP6" s="1">
        <v>527.88</v>
      </c>
      <c r="BQ6" s="1">
        <v>490.54</v>
      </c>
      <c r="BR6" s="1">
        <v>503.31</v>
      </c>
      <c r="BS6" s="1">
        <v>478.75</v>
      </c>
      <c r="BT6" s="1">
        <f>Assets!F3</f>
        <v>503.30999999999995</v>
      </c>
      <c r="BU6" s="1">
        <f>Assets!F27</f>
        <v>355.94</v>
      </c>
      <c r="BV6" s="1">
        <f>Assets!F52</f>
        <v>331.38</v>
      </c>
    </row>
    <row r="7" spans="1:74" ht="12.75">
      <c r="A7" t="s">
        <v>86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"/>
      <c r="S7" s="1"/>
      <c r="T7" s="1"/>
      <c r="U7" s="1"/>
      <c r="V7" s="1"/>
      <c r="X7" s="7"/>
      <c r="Y7" s="1"/>
      <c r="Z7" s="1"/>
      <c r="AA7" s="1"/>
      <c r="AB7" s="1"/>
      <c r="AC7" s="1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"/>
      <c r="AW7" s="1"/>
      <c r="AX7" s="1"/>
      <c r="AY7" s="1"/>
      <c r="AZ7" s="9"/>
      <c r="BA7" s="9"/>
      <c r="BB7" s="9"/>
      <c r="BC7" s="9"/>
      <c r="BD7" s="9">
        <v>1015.75</v>
      </c>
      <c r="BE7" s="9">
        <v>938.5</v>
      </c>
      <c r="BF7" s="9">
        <v>1000.75</v>
      </c>
      <c r="BG7" s="9">
        <v>1030</v>
      </c>
      <c r="BH7" s="9">
        <v>1022.5</v>
      </c>
      <c r="BI7" s="1">
        <v>1094.5</v>
      </c>
      <c r="BJ7" s="1">
        <v>1174.75</v>
      </c>
      <c r="BK7" s="1">
        <v>1082.5</v>
      </c>
      <c r="BL7" s="1">
        <v>1213.75</v>
      </c>
      <c r="BM7" s="1">
        <v>1283.5</v>
      </c>
      <c r="BN7" s="1">
        <v>1367.5</v>
      </c>
      <c r="BO7" s="1">
        <v>1354.75</v>
      </c>
      <c r="BP7" s="1">
        <v>1480</v>
      </c>
      <c r="BQ7" s="1">
        <v>1468</v>
      </c>
      <c r="BR7" s="1">
        <v>1412.32</v>
      </c>
      <c r="BS7" s="1">
        <v>1451.5</v>
      </c>
      <c r="BT7" s="1">
        <f>Assets!F9</f>
        <v>1453.75</v>
      </c>
      <c r="BU7" s="1">
        <f>Assets!F33</f>
        <v>1498.75</v>
      </c>
      <c r="BV7" s="1">
        <f>Assets!F57</f>
        <v>1559.5</v>
      </c>
    </row>
    <row r="8" spans="1:74" ht="12.75">
      <c r="A8" t="s">
        <v>61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"/>
      <c r="S8" s="1"/>
      <c r="T8" s="1"/>
      <c r="U8" s="1"/>
      <c r="V8" s="1"/>
      <c r="X8" s="7"/>
      <c r="Y8" s="1"/>
      <c r="Z8" s="1"/>
      <c r="AA8" s="1"/>
      <c r="AB8" s="1"/>
      <c r="AC8" s="1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"/>
      <c r="AW8" s="1"/>
      <c r="AX8" s="1"/>
      <c r="AY8" s="1"/>
      <c r="AZ8" s="9"/>
      <c r="BA8" s="9"/>
      <c r="BB8" s="9"/>
      <c r="BC8" s="9"/>
      <c r="BD8" s="9"/>
      <c r="BE8" s="9"/>
      <c r="BF8" s="9"/>
      <c r="BG8" s="9"/>
      <c r="BH8" s="9"/>
      <c r="BI8" s="1"/>
      <c r="BJ8" s="1"/>
      <c r="BK8" s="1">
        <v>956.13</v>
      </c>
      <c r="BL8" s="1">
        <v>945.63</v>
      </c>
      <c r="BM8" s="1">
        <v>958.75</v>
      </c>
      <c r="BN8" s="1">
        <v>1063.75</v>
      </c>
      <c r="BO8" s="1">
        <v>1090</v>
      </c>
      <c r="BP8" s="133">
        <v>1037.5</v>
      </c>
      <c r="BQ8" s="1">
        <v>1126.75</v>
      </c>
      <c r="BR8" s="1">
        <v>1153</v>
      </c>
      <c r="BS8" s="118">
        <v>1116.25</v>
      </c>
      <c r="BT8" s="1">
        <f>Assets!F8</f>
        <v>1132</v>
      </c>
      <c r="BU8" s="1">
        <f>Assets!F32</f>
        <v>1142.5</v>
      </c>
      <c r="BV8" s="1">
        <f>Assets!F56</f>
        <v>1153</v>
      </c>
    </row>
    <row r="9" spans="1:74" ht="12.75">
      <c r="A9" t="s">
        <v>62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"/>
      <c r="S9" s="1"/>
      <c r="T9" s="1"/>
      <c r="U9" s="1"/>
      <c r="V9" s="1"/>
      <c r="X9" s="7"/>
      <c r="Y9" s="1"/>
      <c r="Z9" s="1"/>
      <c r="AA9" s="1"/>
      <c r="AB9" s="1"/>
      <c r="AC9" s="1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"/>
      <c r="AW9" s="1"/>
      <c r="AX9" s="1"/>
      <c r="AY9" s="1"/>
      <c r="AZ9" s="9"/>
      <c r="BA9" s="9"/>
      <c r="BB9" s="9"/>
      <c r="BC9" s="9"/>
      <c r="BD9" s="9"/>
      <c r="BE9" s="9"/>
      <c r="BF9" s="9"/>
      <c r="BG9" s="9"/>
      <c r="BH9" s="9"/>
      <c r="BI9" s="1"/>
      <c r="BJ9" s="1"/>
      <c r="BK9" s="1"/>
      <c r="BL9" s="1"/>
      <c r="BM9" s="1">
        <v>986.68</v>
      </c>
      <c r="BN9" s="1">
        <v>1014.18</v>
      </c>
      <c r="BO9" s="1">
        <v>936.96</v>
      </c>
      <c r="BP9" s="133">
        <v>930.52</v>
      </c>
      <c r="BQ9" s="1">
        <v>1023.54</v>
      </c>
      <c r="BR9" s="1">
        <v>946.32</v>
      </c>
      <c r="BS9" s="118">
        <v>942.81</v>
      </c>
      <c r="BT9" s="1">
        <f>Assets!F10</f>
        <v>973.23</v>
      </c>
      <c r="BU9" s="1">
        <f>Assets!F34</f>
        <v>1071.2</v>
      </c>
      <c r="BV9" s="1">
        <f>Assets!F58</f>
        <v>1165.69</v>
      </c>
    </row>
    <row r="10" spans="1:74" ht="12.75">
      <c r="A10" t="s">
        <v>59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"/>
      <c r="S10" s="1"/>
      <c r="T10" s="1"/>
      <c r="U10" s="1"/>
      <c r="V10" s="1"/>
      <c r="X10" s="7"/>
      <c r="Y10" s="1"/>
      <c r="Z10" s="1"/>
      <c r="AA10" s="1"/>
      <c r="AB10" s="1"/>
      <c r="AC10" s="1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"/>
      <c r="AW10" s="1"/>
      <c r="AX10" s="1"/>
      <c r="AY10" s="1"/>
      <c r="AZ10" s="9"/>
      <c r="BA10" s="9"/>
      <c r="BB10" s="9"/>
      <c r="BC10" s="9"/>
      <c r="BD10" s="9"/>
      <c r="BE10" s="9"/>
      <c r="BF10" s="9"/>
      <c r="BG10" s="9"/>
      <c r="BH10" s="9"/>
      <c r="BI10" s="1"/>
      <c r="BJ10" s="1"/>
      <c r="BK10" s="1"/>
      <c r="BL10" s="1"/>
      <c r="BM10" s="1"/>
      <c r="BN10" s="1"/>
      <c r="BO10" s="1">
        <v>886.16</v>
      </c>
      <c r="BP10" s="133">
        <v>848.92</v>
      </c>
      <c r="BQ10" s="1">
        <v>884.2</v>
      </c>
      <c r="BR10" s="1">
        <v>838.14</v>
      </c>
      <c r="BS10" s="77">
        <v>809.23</v>
      </c>
      <c r="BT10" s="1">
        <f>Assets!F6</f>
        <v>805.31</v>
      </c>
      <c r="BU10" s="1">
        <f>Assets!F30</f>
        <v>838.14</v>
      </c>
      <c r="BV10" s="1">
        <f>Assets!F54</f>
        <v>865.58</v>
      </c>
    </row>
    <row r="11" spans="1:74" ht="12.75">
      <c r="A11" t="s">
        <v>63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"/>
      <c r="S11" s="1"/>
      <c r="T11" s="1"/>
      <c r="U11" s="1"/>
      <c r="V11" s="1"/>
      <c r="X11" s="7"/>
      <c r="Y11" s="1"/>
      <c r="Z11" s="1"/>
      <c r="AA11" s="1"/>
      <c r="AB11" s="1"/>
      <c r="AC11" s="1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"/>
      <c r="AW11" s="1"/>
      <c r="AX11" s="1"/>
      <c r="AY11" s="1"/>
      <c r="AZ11" s="9"/>
      <c r="BA11" s="9"/>
      <c r="BB11" s="9"/>
      <c r="BC11" s="9"/>
      <c r="BD11" s="9"/>
      <c r="BE11" s="9"/>
      <c r="BF11" s="9"/>
      <c r="BG11" s="9"/>
      <c r="BH11" s="9"/>
      <c r="BI11" s="1"/>
      <c r="BJ11" s="1"/>
      <c r="BK11" s="1"/>
      <c r="BL11" s="1"/>
      <c r="BM11" s="1"/>
      <c r="BN11" s="1"/>
      <c r="BO11" s="1">
        <v>883.48</v>
      </c>
      <c r="BP11" s="133">
        <v>909.64</v>
      </c>
      <c r="BQ11" s="1">
        <v>1002.29</v>
      </c>
      <c r="BR11" s="1">
        <v>967.96</v>
      </c>
      <c r="BS11" s="118">
        <v>1013.19</v>
      </c>
      <c r="BT11" s="1">
        <f>Assets!F11</f>
        <v>911.28</v>
      </c>
      <c r="BU11" s="1">
        <f>Assets!F35</f>
        <v>764.05</v>
      </c>
      <c r="BV11" s="1">
        <f>Assets!F59</f>
        <v>764.52</v>
      </c>
    </row>
    <row r="12" spans="1:74" ht="12.75">
      <c r="A12" t="s">
        <v>191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"/>
      <c r="S12" s="1"/>
      <c r="T12" s="1"/>
      <c r="U12" s="1"/>
      <c r="V12" s="1"/>
      <c r="X12" s="7"/>
      <c r="Y12" s="1"/>
      <c r="Z12" s="1"/>
      <c r="AA12" s="1"/>
      <c r="AB12" s="1"/>
      <c r="AC12" s="1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"/>
      <c r="AW12" s="1"/>
      <c r="AX12" s="1"/>
      <c r="AY12" s="1"/>
      <c r="AZ12" s="9"/>
      <c r="BA12" s="9"/>
      <c r="BB12" s="9"/>
      <c r="BC12" s="9"/>
      <c r="BD12" s="9"/>
      <c r="BE12" s="9"/>
      <c r="BF12" s="9"/>
      <c r="BG12" s="9"/>
      <c r="BH12" s="9"/>
      <c r="BI12" s="1"/>
      <c r="BJ12" s="1"/>
      <c r="BK12" s="1"/>
      <c r="BL12" s="1"/>
      <c r="BM12" s="1"/>
      <c r="BN12" s="1"/>
      <c r="BO12" s="1"/>
      <c r="BP12" s="133"/>
      <c r="BQ12" s="1"/>
      <c r="BR12" s="1"/>
      <c r="BS12" s="118"/>
      <c r="BT12" s="1"/>
      <c r="BU12" s="1">
        <f>Assets!F36</f>
        <v>1940.71</v>
      </c>
      <c r="BV12" s="1">
        <f>Assets!F60</f>
        <v>1980.01</v>
      </c>
    </row>
    <row r="13" spans="2:68" ht="12.7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"/>
      <c r="S13" s="1"/>
      <c r="T13" s="1"/>
      <c r="U13" s="1"/>
      <c r="V13" s="1"/>
      <c r="X13" s="7"/>
      <c r="Y13" s="1"/>
      <c r="Z13" s="1"/>
      <c r="AA13" s="1"/>
      <c r="AB13" s="1"/>
      <c r="AC13" s="1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"/>
      <c r="AW13" s="1"/>
      <c r="AX13" s="1"/>
      <c r="AY13" s="1"/>
      <c r="AZ13" s="9"/>
      <c r="BA13" s="9"/>
      <c r="BB13" s="9"/>
      <c r="BC13" s="9"/>
      <c r="BD13" s="9"/>
      <c r="BE13" s="9"/>
      <c r="BF13" s="9"/>
      <c r="BG13" s="9"/>
      <c r="BH13" s="9"/>
      <c r="BI13" s="1"/>
      <c r="BJ13" s="1"/>
      <c r="BK13" s="1"/>
      <c r="BL13" s="1"/>
      <c r="BM13" s="1"/>
      <c r="BN13" s="1"/>
      <c r="BP13" s="155"/>
    </row>
    <row r="14" spans="2:72" ht="12.7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"/>
      <c r="S14" s="1"/>
      <c r="T14" s="1"/>
      <c r="U14" s="1"/>
      <c r="V14" s="1"/>
      <c r="X14" s="7"/>
      <c r="Y14" s="1"/>
      <c r="Z14" s="1"/>
      <c r="AA14" s="1"/>
      <c r="AB14" s="1"/>
      <c r="AC14" s="1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"/>
      <c r="AW14" s="1"/>
      <c r="AX14" s="1"/>
      <c r="AY14" s="1"/>
      <c r="AZ14" s="9"/>
      <c r="BA14" s="9"/>
      <c r="BB14" s="9"/>
      <c r="BC14" s="9"/>
      <c r="BD14" s="9"/>
      <c r="BE14" s="9"/>
      <c r="BF14" s="9"/>
      <c r="BG14" s="9"/>
      <c r="BH14" s="9"/>
      <c r="BI14" s="1"/>
      <c r="BJ14" s="1"/>
      <c r="BP14" s="155"/>
      <c r="BT14" s="135"/>
    </row>
    <row r="15" spans="1:74" ht="12.75">
      <c r="A15" t="s">
        <v>170</v>
      </c>
      <c r="B15" s="1">
        <v>0</v>
      </c>
      <c r="C15" s="1">
        <v>0</v>
      </c>
      <c r="D15" s="1">
        <v>0</v>
      </c>
      <c r="E15" s="1">
        <v>475.02</v>
      </c>
      <c r="F15" s="1">
        <v>1000.58</v>
      </c>
      <c r="G15" s="1">
        <v>2381.79</v>
      </c>
      <c r="H15" s="1">
        <v>2674.04</v>
      </c>
      <c r="I15" s="1">
        <v>2455.71</v>
      </c>
      <c r="J15" s="1">
        <v>4640.66</v>
      </c>
      <c r="K15" s="1">
        <v>4406.49</v>
      </c>
      <c r="L15" s="1">
        <v>4793.97</v>
      </c>
      <c r="M15" s="1">
        <v>6532.73</v>
      </c>
      <c r="N15" s="1">
        <v>6851.71</v>
      </c>
      <c r="O15" s="1">
        <v>7626.62</v>
      </c>
      <c r="P15" s="1">
        <v>5265.52</v>
      </c>
      <c r="Q15" s="1">
        <v>6671.08</v>
      </c>
      <c r="R15" s="1">
        <v>7585.55</v>
      </c>
      <c r="S15" s="1">
        <v>6219.57</v>
      </c>
      <c r="T15" s="1">
        <v>7928.2</v>
      </c>
      <c r="U15" s="1">
        <v>6176.06</v>
      </c>
      <c r="V15" s="1">
        <v>8081.7</v>
      </c>
      <c r="W15" s="1">
        <v>4434.57</v>
      </c>
      <c r="X15" s="1">
        <v>6527.26</v>
      </c>
      <c r="Y15" s="1">
        <v>6540.35</v>
      </c>
      <c r="Z15" s="1">
        <v>4616.82</v>
      </c>
      <c r="AA15" s="1">
        <v>3672.22</v>
      </c>
      <c r="AB15" s="1">
        <v>6578.66</v>
      </c>
      <c r="AC15" s="1">
        <v>4801.52</v>
      </c>
      <c r="AD15" s="1">
        <v>6227.83</v>
      </c>
      <c r="AE15" s="1">
        <v>7479.22</v>
      </c>
      <c r="AF15" s="1">
        <v>6187.4</v>
      </c>
      <c r="AG15" s="1">
        <v>4861.54</v>
      </c>
      <c r="AH15" s="1">
        <v>5563.1</v>
      </c>
      <c r="AI15" s="1">
        <v>9591.69</v>
      </c>
      <c r="AJ15" s="1">
        <v>8493.79</v>
      </c>
      <c r="AK15" s="1">
        <v>7121.65</v>
      </c>
      <c r="AL15" s="1">
        <v>6442.59</v>
      </c>
      <c r="AM15" s="1">
        <v>4351.91</v>
      </c>
      <c r="AN15" s="1">
        <v>4476.31</v>
      </c>
      <c r="AO15" s="1">
        <v>4694.36</v>
      </c>
      <c r="AP15" s="1">
        <v>5957.93</v>
      </c>
      <c r="AQ15" s="1">
        <v>6025.29</v>
      </c>
      <c r="AR15" s="1">
        <v>6433.76</v>
      </c>
      <c r="AS15" s="1">
        <v>6796.08</v>
      </c>
      <c r="AT15" s="1">
        <v>6439.39</v>
      </c>
      <c r="AU15" s="1">
        <v>7141.31</v>
      </c>
      <c r="AV15" s="1">
        <v>8907.4</v>
      </c>
      <c r="AW15" s="1">
        <v>8533.88</v>
      </c>
      <c r="AX15" s="1">
        <v>6536.55</v>
      </c>
      <c r="AY15" s="1">
        <v>7059.56</v>
      </c>
      <c r="AZ15" s="1">
        <v>9107.09</v>
      </c>
      <c r="BA15" s="1">
        <v>7451.16</v>
      </c>
      <c r="BB15" s="1">
        <v>7754.48</v>
      </c>
      <c r="BC15" s="1">
        <v>11151.08</v>
      </c>
      <c r="BD15" s="1">
        <v>13001.96</v>
      </c>
      <c r="BE15" s="1">
        <v>13234.59</v>
      </c>
      <c r="BF15" s="1">
        <v>13144.09</v>
      </c>
      <c r="BG15" s="1">
        <v>10513.98</v>
      </c>
      <c r="BH15" s="1">
        <v>13644.1</v>
      </c>
      <c r="BI15" s="1">
        <v>13492.07</v>
      </c>
      <c r="BJ15" s="1">
        <v>12765.65</v>
      </c>
      <c r="BK15" s="1">
        <v>13241.73</v>
      </c>
      <c r="BL15" s="1">
        <v>13695.94</v>
      </c>
      <c r="BM15" s="1">
        <v>13390.32</v>
      </c>
      <c r="BN15" s="1">
        <v>14969.99</v>
      </c>
      <c r="BO15" s="1">
        <v>17046.36</v>
      </c>
      <c r="BP15" s="1">
        <v>15354.25</v>
      </c>
      <c r="BQ15" s="1">
        <v>12607.65</v>
      </c>
      <c r="BR15" s="1">
        <v>12351.1</v>
      </c>
      <c r="BS15" s="1">
        <v>12255.15</v>
      </c>
      <c r="BT15" s="1">
        <f>SUM(BT3:BT14)</f>
        <v>8423.8</v>
      </c>
      <c r="BU15" s="1">
        <f>SUM(BU3:BU14)</f>
        <v>10240.669999999998</v>
      </c>
      <c r="BV15" s="1">
        <f>SUM(BV3:BV14)</f>
        <v>10463.910000000002</v>
      </c>
    </row>
    <row r="16" spans="1:74" ht="12.75">
      <c r="A16" t="s">
        <v>167</v>
      </c>
      <c r="B16" s="1">
        <v>800</v>
      </c>
      <c r="C16" s="1">
        <v>800.01</v>
      </c>
      <c r="D16" s="1">
        <v>1100.06</v>
      </c>
      <c r="E16" s="1">
        <v>898.35</v>
      </c>
      <c r="F16" s="1">
        <v>680.7</v>
      </c>
      <c r="G16" s="1">
        <v>462.78</v>
      </c>
      <c r="H16" s="1">
        <v>252.93</v>
      </c>
      <c r="I16" s="1">
        <v>1593.83</v>
      </c>
      <c r="J16" s="1">
        <v>1281.26</v>
      </c>
      <c r="K16" s="1">
        <v>1644.98</v>
      </c>
      <c r="L16" s="1">
        <v>1197.95</v>
      </c>
      <c r="M16" s="1">
        <v>103.44</v>
      </c>
      <c r="N16" s="1">
        <v>765.24</v>
      </c>
      <c r="O16" s="1">
        <v>272.04</v>
      </c>
      <c r="P16" s="1">
        <v>3092.16</v>
      </c>
      <c r="Q16" s="1">
        <v>1606.71</v>
      </c>
      <c r="R16" s="1">
        <v>1060.33</v>
      </c>
      <c r="S16" s="1">
        <v>2040.28</v>
      </c>
      <c r="T16" s="1">
        <v>604.44</v>
      </c>
      <c r="U16" s="1">
        <v>3147.48</v>
      </c>
      <c r="V16" s="1">
        <v>1122.46</v>
      </c>
      <c r="W16" s="1">
        <v>4377.65</v>
      </c>
      <c r="X16" s="1">
        <v>1697.41</v>
      </c>
      <c r="Y16" s="1">
        <v>2217.42</v>
      </c>
      <c r="Z16" s="1">
        <v>4651.11</v>
      </c>
      <c r="AA16" s="1">
        <v>5567.17</v>
      </c>
      <c r="AB16" s="1">
        <v>2488.07</v>
      </c>
      <c r="AC16" s="1">
        <v>3785.91</v>
      </c>
      <c r="AD16" s="1">
        <v>2857.17</v>
      </c>
      <c r="AE16" s="1">
        <v>2434.59</v>
      </c>
      <c r="AF16" s="1">
        <v>3983.82</v>
      </c>
      <c r="AG16" s="1">
        <v>5217.13</v>
      </c>
      <c r="AH16" s="1">
        <v>4413.48</v>
      </c>
      <c r="AI16" s="1">
        <v>743.7099999999994</v>
      </c>
      <c r="AJ16" s="1">
        <v>2380.34</v>
      </c>
      <c r="AK16" s="1">
        <v>3903.28</v>
      </c>
      <c r="AL16" s="1">
        <v>4092.48</v>
      </c>
      <c r="AM16" s="1">
        <v>5430.73</v>
      </c>
      <c r="AN16" s="1">
        <v>5864.71</v>
      </c>
      <c r="AO16" s="1">
        <v>4829.16</v>
      </c>
      <c r="AP16" s="1">
        <v>3664.86</v>
      </c>
      <c r="AQ16" s="1">
        <v>4050.29</v>
      </c>
      <c r="AR16" s="1">
        <v>4157.23</v>
      </c>
      <c r="AS16" s="1">
        <v>3521.81</v>
      </c>
      <c r="AT16" s="1">
        <v>4044.73</v>
      </c>
      <c r="AU16" s="1">
        <v>3567.98</v>
      </c>
      <c r="AV16" s="1">
        <v>2669.74</v>
      </c>
      <c r="AW16" s="1">
        <v>4191.29</v>
      </c>
      <c r="AX16" s="1">
        <v>6614.23</v>
      </c>
      <c r="AY16" s="1">
        <v>7021.59</v>
      </c>
      <c r="AZ16" s="1">
        <v>5410.88</v>
      </c>
      <c r="BA16" s="1">
        <v>7328.32</v>
      </c>
      <c r="BB16" s="1">
        <v>7870.58</v>
      </c>
      <c r="BC16" s="1">
        <v>4817.71</v>
      </c>
      <c r="BD16" s="1">
        <v>1704.75</v>
      </c>
      <c r="BE16" s="1">
        <v>1704.27</v>
      </c>
      <c r="BF16" s="1">
        <v>2247</v>
      </c>
      <c r="BG16" s="1">
        <v>5154.88</v>
      </c>
      <c r="BH16" s="1">
        <v>2507.53</v>
      </c>
      <c r="BI16" s="1">
        <v>2898.08</v>
      </c>
      <c r="BJ16" s="1">
        <v>4097.64</v>
      </c>
      <c r="BK16" s="1">
        <f aca="true" t="shared" si="0" ref="BK16:BV16">BK2</f>
        <v>3545.5</v>
      </c>
      <c r="BL16" s="1">
        <f t="shared" si="0"/>
        <v>3927.97</v>
      </c>
      <c r="BM16" s="1">
        <f t="shared" si="0"/>
        <v>4603.27</v>
      </c>
      <c r="BN16" s="1">
        <f t="shared" si="0"/>
        <v>4138.79</v>
      </c>
      <c r="BO16" s="1">
        <f t="shared" si="0"/>
        <v>1051.17</v>
      </c>
      <c r="BP16" s="1">
        <f t="shared" si="0"/>
        <v>3398.12</v>
      </c>
      <c r="BQ16" s="1">
        <f t="shared" si="0"/>
        <v>7173.43</v>
      </c>
      <c r="BR16" s="1">
        <f t="shared" si="0"/>
        <v>5395.16</v>
      </c>
      <c r="BS16" s="1">
        <f t="shared" si="0"/>
        <v>3547.9</v>
      </c>
      <c r="BT16" s="1">
        <f t="shared" si="0"/>
        <v>7485.6900000000005</v>
      </c>
      <c r="BU16" s="1">
        <f t="shared" si="0"/>
        <v>4074.1499999999996</v>
      </c>
      <c r="BV16" s="1">
        <f t="shared" si="0"/>
        <v>2275.5999999999995</v>
      </c>
    </row>
    <row r="17" spans="1:74" ht="12.75">
      <c r="A17" s="113" t="s">
        <v>91</v>
      </c>
      <c r="B17" s="1">
        <v>800</v>
      </c>
      <c r="C17" s="1">
        <v>800.01</v>
      </c>
      <c r="D17" s="1">
        <v>1100.06</v>
      </c>
      <c r="E17" s="1">
        <v>1373.37</v>
      </c>
      <c r="F17" s="1">
        <v>1681.28</v>
      </c>
      <c r="G17" s="1">
        <v>2844.57</v>
      </c>
      <c r="H17" s="1">
        <v>2926.97</v>
      </c>
      <c r="I17" s="1">
        <v>4049.54</v>
      </c>
      <c r="J17" s="1">
        <v>5841.92</v>
      </c>
      <c r="K17" s="1">
        <v>6021.47</v>
      </c>
      <c r="L17" s="1">
        <f aca="true" t="shared" si="1" ref="L17:W17">L15+L16</f>
        <v>5991.92</v>
      </c>
      <c r="M17" s="1">
        <f t="shared" si="1"/>
        <v>6636.169999999999</v>
      </c>
      <c r="N17" s="1">
        <f t="shared" si="1"/>
        <v>7616.95</v>
      </c>
      <c r="O17" s="1">
        <f t="shared" si="1"/>
        <v>7898.66</v>
      </c>
      <c r="P17" s="1">
        <f t="shared" si="1"/>
        <v>8357.68</v>
      </c>
      <c r="Q17" s="1">
        <f t="shared" si="1"/>
        <v>8277.79</v>
      </c>
      <c r="R17" s="1">
        <f t="shared" si="1"/>
        <v>8645.880000000001</v>
      </c>
      <c r="S17" s="1">
        <f t="shared" si="1"/>
        <v>8259.85</v>
      </c>
      <c r="T17" s="1">
        <f t="shared" si="1"/>
        <v>8532.64</v>
      </c>
      <c r="U17" s="1">
        <f t="shared" si="1"/>
        <v>9323.54</v>
      </c>
      <c r="V17" s="1">
        <f t="shared" si="1"/>
        <v>9204.16</v>
      </c>
      <c r="W17" s="1">
        <f t="shared" si="1"/>
        <v>8812.22</v>
      </c>
      <c r="X17" s="1">
        <v>8224.67</v>
      </c>
      <c r="Y17" s="1">
        <v>8757.77</v>
      </c>
      <c r="Z17" s="1">
        <v>9267.93</v>
      </c>
      <c r="AA17" s="1">
        <v>9239.39</v>
      </c>
      <c r="AB17" s="1">
        <v>9066.73</v>
      </c>
      <c r="AC17" s="1">
        <v>8587.43</v>
      </c>
      <c r="AD17" s="1">
        <v>9085</v>
      </c>
      <c r="AE17" s="1">
        <v>9913.81</v>
      </c>
      <c r="AF17" s="1">
        <v>10171.22</v>
      </c>
      <c r="AG17" s="1">
        <v>10078.67</v>
      </c>
      <c r="AH17" s="1">
        <v>9976.58</v>
      </c>
      <c r="AI17" s="1">
        <v>10335.4</v>
      </c>
      <c r="AJ17" s="1">
        <v>10874.13</v>
      </c>
      <c r="AK17" s="1">
        <v>11024.93</v>
      </c>
      <c r="AL17" s="1">
        <v>10535.07</v>
      </c>
      <c r="AM17" s="1">
        <v>9782.64</v>
      </c>
      <c r="AN17" s="1">
        <v>10341.02</v>
      </c>
      <c r="AO17" s="1">
        <v>9523.52</v>
      </c>
      <c r="AP17" s="1">
        <v>9622.79</v>
      </c>
      <c r="AQ17" s="1">
        <v>10075.58</v>
      </c>
      <c r="AR17" s="1">
        <v>10590.99</v>
      </c>
      <c r="AS17" s="1">
        <v>10317.89</v>
      </c>
      <c r="AT17" s="1">
        <v>10484.12</v>
      </c>
      <c r="AU17" s="1">
        <v>10709.29</v>
      </c>
      <c r="AV17" s="1">
        <v>11577.14</v>
      </c>
      <c r="AW17" s="1">
        <v>12725.17</v>
      </c>
      <c r="AX17" s="1">
        <v>13150.78</v>
      </c>
      <c r="AY17" s="1">
        <v>14081.15</v>
      </c>
      <c r="AZ17" s="1">
        <v>14517.97</v>
      </c>
      <c r="BA17" s="1">
        <v>14779.48</v>
      </c>
      <c r="BB17" s="1">
        <v>15625.06</v>
      </c>
      <c r="BC17" s="1">
        <v>15968.79</v>
      </c>
      <c r="BD17" s="1">
        <v>14706.71</v>
      </c>
      <c r="BE17" s="1">
        <v>14938.86</v>
      </c>
      <c r="BF17" s="1">
        <v>15391.09</v>
      </c>
      <c r="BG17" s="1">
        <v>15668.86</v>
      </c>
      <c r="BH17" s="1">
        <v>16151.63</v>
      </c>
      <c r="BI17" s="1">
        <v>16390.15</v>
      </c>
      <c r="BJ17" s="1">
        <v>16863.29</v>
      </c>
      <c r="BK17" s="1">
        <v>16787.23</v>
      </c>
      <c r="BL17" s="1">
        <v>17623.91</v>
      </c>
      <c r="BM17" s="1">
        <v>17993.59</v>
      </c>
      <c r="BN17" s="1">
        <v>19108.78</v>
      </c>
      <c r="BO17" s="1">
        <v>18097.53</v>
      </c>
      <c r="BP17" s="1">
        <v>18752.37</v>
      </c>
      <c r="BQ17" s="1">
        <v>19781.08</v>
      </c>
      <c r="BR17" s="1">
        <v>17746.26</v>
      </c>
      <c r="BS17" s="1">
        <v>15803.05</v>
      </c>
      <c r="BT17" s="1">
        <f>SUM(BT15:BT16)</f>
        <v>15909.49</v>
      </c>
      <c r="BU17" s="1">
        <f>SUM(BU15:BU16)</f>
        <v>14314.819999999998</v>
      </c>
      <c r="BV17" s="1">
        <f>SUM(BV15:BV16)</f>
        <v>12739.510000000002</v>
      </c>
    </row>
    <row r="18" spans="1:68" ht="12.75">
      <c r="A18" s="11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P18" s="156"/>
    </row>
    <row r="19" spans="1:74" ht="12.75">
      <c r="A19" t="s">
        <v>171</v>
      </c>
      <c r="B19">
        <v>800</v>
      </c>
      <c r="C19">
        <v>800</v>
      </c>
      <c r="D19">
        <v>1100</v>
      </c>
      <c r="E19">
        <v>1400</v>
      </c>
      <c r="F19">
        <v>1700</v>
      </c>
      <c r="G19">
        <v>2010</v>
      </c>
      <c r="H19">
        <v>2220</v>
      </c>
      <c r="I19">
        <v>2450</v>
      </c>
      <c r="J19">
        <v>2840</v>
      </c>
      <c r="K19">
        <v>3265</v>
      </c>
      <c r="L19">
        <v>3604</v>
      </c>
      <c r="M19">
        <v>3964</v>
      </c>
      <c r="N19">
        <v>4324</v>
      </c>
      <c r="O19">
        <v>4630</v>
      </c>
      <c r="P19">
        <v>5024</v>
      </c>
      <c r="Q19">
        <v>4983</v>
      </c>
      <c r="R19">
        <v>5307</v>
      </c>
      <c r="S19">
        <v>5654</v>
      </c>
      <c r="T19">
        <v>5609</v>
      </c>
      <c r="U19" s="60">
        <v>5968</v>
      </c>
      <c r="V19" s="60">
        <v>6292</v>
      </c>
      <c r="W19" s="60">
        <v>6429</v>
      </c>
      <c r="X19" s="60">
        <v>6017</v>
      </c>
      <c r="Y19" s="60">
        <v>6369</v>
      </c>
      <c r="Z19" s="60">
        <v>6718</v>
      </c>
      <c r="AA19" s="60">
        <v>6696</v>
      </c>
      <c r="AB19" s="60">
        <v>6649</v>
      </c>
      <c r="AC19" s="60">
        <v>6963</v>
      </c>
      <c r="AD19" s="157">
        <v>7301</v>
      </c>
      <c r="AE19" s="157">
        <v>7638</v>
      </c>
      <c r="AF19" s="157">
        <v>7960</v>
      </c>
      <c r="AG19" s="157">
        <v>8294</v>
      </c>
      <c r="AH19" s="157">
        <v>8633</v>
      </c>
      <c r="AI19" s="157">
        <v>8996</v>
      </c>
      <c r="AJ19" s="157">
        <v>9361</v>
      </c>
      <c r="AK19" s="157">
        <v>9724</v>
      </c>
      <c r="AL19" s="157">
        <v>10100</v>
      </c>
      <c r="AM19" s="157">
        <v>10499</v>
      </c>
      <c r="AN19" s="157">
        <v>10955</v>
      </c>
      <c r="AO19" s="157">
        <v>10921</v>
      </c>
      <c r="AP19" s="157">
        <v>10639</v>
      </c>
      <c r="AQ19" s="157">
        <v>11045</v>
      </c>
      <c r="AR19" s="157">
        <v>11441</v>
      </c>
      <c r="AS19" s="157">
        <v>11825</v>
      </c>
      <c r="AT19" s="157">
        <v>12235</v>
      </c>
      <c r="AU19" s="157">
        <v>12655</v>
      </c>
      <c r="AV19" s="60">
        <v>13077</v>
      </c>
      <c r="AW19" s="60">
        <v>13482</v>
      </c>
      <c r="AX19" s="60">
        <v>13856</v>
      </c>
      <c r="AY19" s="60">
        <v>14228</v>
      </c>
      <c r="AZ19" s="137">
        <v>14588</v>
      </c>
      <c r="BA19" s="137">
        <v>14946</v>
      </c>
      <c r="BB19" s="137">
        <v>15308</v>
      </c>
      <c r="BC19" s="137">
        <v>15666</v>
      </c>
      <c r="BD19" s="137">
        <v>14586</v>
      </c>
      <c r="BE19" s="137">
        <v>14915</v>
      </c>
      <c r="BF19" s="137">
        <v>15245</v>
      </c>
      <c r="BG19" s="137">
        <v>15567</v>
      </c>
      <c r="BH19" s="137">
        <v>15895</v>
      </c>
      <c r="BI19" s="60">
        <v>16224</v>
      </c>
      <c r="BJ19" s="60">
        <v>16545</v>
      </c>
      <c r="BK19" s="60">
        <v>16873</v>
      </c>
      <c r="BL19" s="60">
        <v>17204</v>
      </c>
      <c r="BM19" s="60">
        <v>17525</v>
      </c>
      <c r="BN19" s="60">
        <v>17845</v>
      </c>
      <c r="BO19" s="60">
        <v>16611</v>
      </c>
      <c r="BP19" s="60">
        <v>16889</v>
      </c>
      <c r="BQ19" s="60">
        <v>17159</v>
      </c>
      <c r="BR19" s="60">
        <v>15584</v>
      </c>
      <c r="BS19" s="60">
        <v>13959</v>
      </c>
      <c r="BT19" s="60">
        <f>Units!J11</f>
        <v>14173</v>
      </c>
      <c r="BU19" s="60">
        <f>Units!J22</f>
        <v>12688</v>
      </c>
      <c r="BV19" s="60">
        <f>Units!J33</f>
        <v>10935</v>
      </c>
    </row>
    <row r="20" spans="2:74" ht="12.75">
      <c r="B20">
        <v>100</v>
      </c>
      <c r="C20">
        <v>100</v>
      </c>
      <c r="D20">
        <v>100</v>
      </c>
      <c r="E20">
        <v>98</v>
      </c>
      <c r="F20">
        <v>99</v>
      </c>
      <c r="G20">
        <v>142</v>
      </c>
      <c r="H20">
        <v>132</v>
      </c>
      <c r="I20">
        <v>165</v>
      </c>
      <c r="J20">
        <v>206</v>
      </c>
      <c r="K20">
        <v>184</v>
      </c>
      <c r="L20">
        <v>166</v>
      </c>
      <c r="M20">
        <v>167</v>
      </c>
      <c r="N20">
        <v>176</v>
      </c>
      <c r="O20">
        <v>171</v>
      </c>
      <c r="P20">
        <v>166</v>
      </c>
      <c r="Q20">
        <v>166</v>
      </c>
      <c r="R20">
        <v>163</v>
      </c>
      <c r="S20">
        <v>146</v>
      </c>
      <c r="T20">
        <v>152</v>
      </c>
      <c r="U20">
        <v>156</v>
      </c>
      <c r="V20">
        <v>146</v>
      </c>
      <c r="W20">
        <v>137</v>
      </c>
      <c r="X20">
        <v>137</v>
      </c>
      <c r="Y20">
        <v>138</v>
      </c>
      <c r="Z20">
        <v>138</v>
      </c>
      <c r="AA20">
        <v>138</v>
      </c>
      <c r="AB20">
        <v>136</v>
      </c>
      <c r="AC20">
        <v>123</v>
      </c>
      <c r="AD20" s="82">
        <v>124</v>
      </c>
      <c r="AE20" s="82">
        <v>130</v>
      </c>
      <c r="AF20" s="82">
        <v>128</v>
      </c>
      <c r="AG20" s="82">
        <v>122</v>
      </c>
      <c r="AH20" s="82">
        <v>116</v>
      </c>
      <c r="AI20" s="82">
        <v>115</v>
      </c>
      <c r="AJ20" s="82">
        <v>116</v>
      </c>
      <c r="AK20" s="82">
        <v>113</v>
      </c>
      <c r="AL20" s="82">
        <v>104</v>
      </c>
      <c r="AM20" s="82">
        <v>93</v>
      </c>
      <c r="AN20" s="82">
        <v>94</v>
      </c>
      <c r="AO20" s="82">
        <v>87</v>
      </c>
      <c r="AP20" s="82">
        <v>90</v>
      </c>
      <c r="AQ20" s="82">
        <v>91</v>
      </c>
      <c r="AR20" s="82">
        <v>93</v>
      </c>
      <c r="AS20" s="82">
        <v>87</v>
      </c>
      <c r="AT20" s="82">
        <v>86</v>
      </c>
      <c r="AU20" s="82">
        <v>85</v>
      </c>
      <c r="AV20">
        <f aca="true" t="shared" si="2" ref="AV20:BV20">ROUND(100*AV17/AV19,0)</f>
        <v>89</v>
      </c>
      <c r="AW20">
        <f t="shared" si="2"/>
        <v>94</v>
      </c>
      <c r="AX20">
        <f t="shared" si="2"/>
        <v>95</v>
      </c>
      <c r="AY20">
        <f t="shared" si="2"/>
        <v>99</v>
      </c>
      <c r="AZ20" s="16">
        <f t="shared" si="2"/>
        <v>100</v>
      </c>
      <c r="BA20" s="16">
        <f t="shared" si="2"/>
        <v>99</v>
      </c>
      <c r="BB20" s="16">
        <f t="shared" si="2"/>
        <v>102</v>
      </c>
      <c r="BC20" s="16">
        <f t="shared" si="2"/>
        <v>102</v>
      </c>
      <c r="BD20" s="16">
        <f t="shared" si="2"/>
        <v>101</v>
      </c>
      <c r="BE20" s="16">
        <f t="shared" si="2"/>
        <v>100</v>
      </c>
      <c r="BF20" s="16">
        <f t="shared" si="2"/>
        <v>101</v>
      </c>
      <c r="BG20" s="16">
        <f t="shared" si="2"/>
        <v>101</v>
      </c>
      <c r="BH20" s="16">
        <f t="shared" si="2"/>
        <v>102</v>
      </c>
      <c r="BI20" s="16">
        <f t="shared" si="2"/>
        <v>101</v>
      </c>
      <c r="BJ20" s="16">
        <f t="shared" si="2"/>
        <v>102</v>
      </c>
      <c r="BK20" s="16">
        <f t="shared" si="2"/>
        <v>99</v>
      </c>
      <c r="BL20" s="16">
        <f t="shared" si="2"/>
        <v>102</v>
      </c>
      <c r="BM20" s="16">
        <f t="shared" si="2"/>
        <v>103</v>
      </c>
      <c r="BN20" s="16">
        <f t="shared" si="2"/>
        <v>107</v>
      </c>
      <c r="BO20" s="16">
        <f t="shared" si="2"/>
        <v>109</v>
      </c>
      <c r="BP20" s="16">
        <f t="shared" si="2"/>
        <v>111</v>
      </c>
      <c r="BQ20" s="16">
        <f t="shared" si="2"/>
        <v>115</v>
      </c>
      <c r="BR20" s="16">
        <f t="shared" si="2"/>
        <v>114</v>
      </c>
      <c r="BS20" s="16">
        <f t="shared" si="2"/>
        <v>113</v>
      </c>
      <c r="BT20" s="16">
        <f t="shared" si="2"/>
        <v>112</v>
      </c>
      <c r="BU20" s="16">
        <f t="shared" si="2"/>
        <v>113</v>
      </c>
      <c r="BV20" s="16">
        <f t="shared" si="2"/>
        <v>117</v>
      </c>
    </row>
    <row r="21" spans="30:76" ht="12.75">
      <c r="AD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BH21" s="16"/>
      <c r="BX21" s="1"/>
    </row>
    <row r="22" spans="1:74" ht="12.75">
      <c r="A22" t="s">
        <v>38</v>
      </c>
      <c r="B22" s="60">
        <v>100</v>
      </c>
      <c r="C22" s="60">
        <v>100</v>
      </c>
      <c r="D22" s="60">
        <v>100</v>
      </c>
      <c r="E22" s="60">
        <v>98</v>
      </c>
      <c r="F22" s="60">
        <v>99</v>
      </c>
      <c r="G22" s="60">
        <v>142</v>
      </c>
      <c r="H22">
        <v>132</v>
      </c>
      <c r="I22">
        <v>165</v>
      </c>
      <c r="J22">
        <v>206</v>
      </c>
      <c r="K22">
        <v>184</v>
      </c>
      <c r="L22">
        <v>165</v>
      </c>
      <c r="M22">
        <v>167</v>
      </c>
      <c r="N22">
        <v>174</v>
      </c>
      <c r="O22">
        <v>170</v>
      </c>
      <c r="P22">
        <v>166</v>
      </c>
      <c r="Q22">
        <v>166</v>
      </c>
      <c r="R22">
        <v>163</v>
      </c>
      <c r="S22">
        <v>146</v>
      </c>
      <c r="T22">
        <v>152</v>
      </c>
      <c r="U22">
        <v>156</v>
      </c>
      <c r="V22">
        <v>146</v>
      </c>
      <c r="W22">
        <v>137</v>
      </c>
      <c r="X22">
        <v>137</v>
      </c>
      <c r="Y22">
        <v>138</v>
      </c>
      <c r="Z22">
        <v>138</v>
      </c>
      <c r="AA22">
        <v>138</v>
      </c>
      <c r="AB22">
        <v>136</v>
      </c>
      <c r="AC22">
        <v>123</v>
      </c>
      <c r="AD22" s="82">
        <v>124</v>
      </c>
      <c r="AE22">
        <v>130</v>
      </c>
      <c r="AF22">
        <v>128</v>
      </c>
      <c r="AG22">
        <v>122</v>
      </c>
      <c r="AH22" s="82">
        <v>116</v>
      </c>
      <c r="AI22" s="82">
        <v>115</v>
      </c>
      <c r="AJ22" s="82">
        <v>116</v>
      </c>
      <c r="AK22" s="82">
        <v>113</v>
      </c>
      <c r="AL22" s="82">
        <v>104</v>
      </c>
      <c r="AM22" s="82">
        <v>93</v>
      </c>
      <c r="AN22" s="82">
        <v>94</v>
      </c>
      <c r="AO22" s="82">
        <v>87</v>
      </c>
      <c r="AP22" s="82">
        <v>90</v>
      </c>
      <c r="AQ22" s="82">
        <v>91</v>
      </c>
      <c r="AR22" s="82">
        <v>93</v>
      </c>
      <c r="AS22" s="82">
        <v>87</v>
      </c>
      <c r="AT22" s="82">
        <v>86</v>
      </c>
      <c r="AU22" s="82">
        <v>85</v>
      </c>
      <c r="AV22">
        <v>90</v>
      </c>
      <c r="AW22">
        <v>96</v>
      </c>
      <c r="AX22">
        <v>96</v>
      </c>
      <c r="AY22">
        <v>100</v>
      </c>
      <c r="AZ22" s="16">
        <v>101</v>
      </c>
      <c r="BA22" s="16">
        <v>99</v>
      </c>
      <c r="BB22" s="16">
        <v>102</v>
      </c>
      <c r="BC22" s="16">
        <v>102</v>
      </c>
      <c r="BD22" s="16">
        <v>101</v>
      </c>
      <c r="BE22" s="16">
        <v>100</v>
      </c>
      <c r="BF22" s="16">
        <v>101</v>
      </c>
      <c r="BG22" s="16">
        <v>101</v>
      </c>
      <c r="BH22" s="16">
        <v>102</v>
      </c>
      <c r="BI22">
        <v>101</v>
      </c>
      <c r="BJ22">
        <v>102</v>
      </c>
      <c r="BK22">
        <v>99</v>
      </c>
      <c r="BL22">
        <v>102</v>
      </c>
      <c r="BM22">
        <v>103</v>
      </c>
      <c r="BN22">
        <v>107</v>
      </c>
      <c r="BO22">
        <v>109</v>
      </c>
      <c r="BP22">
        <v>111</v>
      </c>
      <c r="BQ22">
        <v>115</v>
      </c>
      <c r="BR22">
        <v>114</v>
      </c>
      <c r="BS22">
        <v>113</v>
      </c>
      <c r="BT22">
        <f>Assets!I20</f>
        <v>112.00000000000001</v>
      </c>
      <c r="BU22">
        <f>Assets!I45</f>
        <v>112.99999999999999</v>
      </c>
      <c r="BV22">
        <f>Assets!I69</f>
        <v>117</v>
      </c>
    </row>
    <row r="23" spans="30:60" ht="12.75">
      <c r="AD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BH23" s="16"/>
    </row>
    <row r="24" spans="1:74" ht="12.75">
      <c r="A24" t="s">
        <v>172</v>
      </c>
      <c r="B24">
        <v>2946.17</v>
      </c>
      <c r="C24">
        <v>2925.13999999999</v>
      </c>
      <c r="D24">
        <v>2939.11</v>
      </c>
      <c r="E24">
        <v>2826.11</v>
      </c>
      <c r="F24">
        <v>2904.38</v>
      </c>
      <c r="G24">
        <v>3086.9</v>
      </c>
      <c r="H24">
        <v>3242.05999999999</v>
      </c>
      <c r="I24">
        <v>2975.86999999999</v>
      </c>
      <c r="J24">
        <v>2989.42999999999</v>
      </c>
      <c r="K24">
        <v>3110.55999999999</v>
      </c>
      <c r="L24">
        <v>3001.92</v>
      </c>
      <c r="M24">
        <v>3017.23</v>
      </c>
      <c r="N24" s="1">
        <v>3058.1</v>
      </c>
      <c r="O24">
        <v>3062.41</v>
      </c>
      <c r="P24">
        <v>3261.57</v>
      </c>
      <c r="Q24">
        <v>3029.36</v>
      </c>
      <c r="R24">
        <v>3078.21</v>
      </c>
      <c r="S24">
        <v>2896.05999999999</v>
      </c>
      <c r="T24">
        <v>2904.44</v>
      </c>
      <c r="U24">
        <v>3030.05</v>
      </c>
      <c r="V24" s="20">
        <v>2839.2</v>
      </c>
      <c r="W24" s="20">
        <v>2711.4</v>
      </c>
      <c r="X24" s="85">
        <v>2833.13</v>
      </c>
      <c r="Y24">
        <v>2818.15</v>
      </c>
      <c r="Z24">
        <v>2728.12</v>
      </c>
      <c r="AA24" s="82">
        <v>2663.92</v>
      </c>
      <c r="AB24" s="82">
        <v>2590.17</v>
      </c>
      <c r="AC24" s="82">
        <v>2340.48</v>
      </c>
      <c r="AD24" s="82">
        <v>2413.5</v>
      </c>
      <c r="AE24">
        <v>2514.07</v>
      </c>
      <c r="AF24" s="82">
        <v>2529.5</v>
      </c>
      <c r="AG24" s="82">
        <v>2510.22</v>
      </c>
      <c r="AH24" s="82">
        <v>2496.02</v>
      </c>
      <c r="AI24" s="75">
        <v>2557.4</v>
      </c>
      <c r="AJ24" s="75">
        <v>2507.58</v>
      </c>
      <c r="AK24" s="75">
        <v>2475.57</v>
      </c>
      <c r="AL24" s="75">
        <v>2260</v>
      </c>
      <c r="AM24" s="75">
        <v>2000</v>
      </c>
      <c r="AN24" s="75">
        <v>2030</v>
      </c>
      <c r="AO24" s="75">
        <v>1804</v>
      </c>
      <c r="AP24" s="75">
        <v>1938.71</v>
      </c>
      <c r="AQ24" s="75">
        <v>2002.97</v>
      </c>
      <c r="AR24" s="75">
        <v>1925.8</v>
      </c>
      <c r="AS24" s="75">
        <v>1765</v>
      </c>
      <c r="AT24" s="75">
        <v>1759.08</v>
      </c>
      <c r="AU24" s="158">
        <v>1735.72</v>
      </c>
      <c r="AV24">
        <v>1904.6</v>
      </c>
      <c r="AW24">
        <v>1980.42</v>
      </c>
      <c r="AX24">
        <v>1971.26</v>
      </c>
      <c r="AY24">
        <v>2022.81</v>
      </c>
      <c r="AZ24" s="16">
        <v>2064.74</v>
      </c>
      <c r="BA24" s="16">
        <v>2064.74</v>
      </c>
      <c r="BB24" s="16">
        <v>2125.37</v>
      </c>
      <c r="BC24" s="16">
        <v>2146.72</v>
      </c>
      <c r="BD24" s="16">
        <v>2222.98</v>
      </c>
      <c r="BE24" s="16">
        <v>2187.1</v>
      </c>
      <c r="BF24" s="16">
        <v>2250</v>
      </c>
      <c r="BG24" s="16">
        <v>2204.16</v>
      </c>
      <c r="BH24" s="16">
        <v>2250</v>
      </c>
      <c r="BI24" s="1">
        <v>2201.81</v>
      </c>
      <c r="BJ24" s="16">
        <v>2193.52</v>
      </c>
      <c r="BK24" s="1">
        <v>2192.22</v>
      </c>
      <c r="BL24" s="135">
        <v>2214.19</v>
      </c>
      <c r="BM24" s="135">
        <v>2311.63</v>
      </c>
      <c r="BN24" s="1">
        <v>2297.66</v>
      </c>
      <c r="BO24" s="135">
        <v>2367.29</v>
      </c>
      <c r="BP24" s="1">
        <v>2410.75</v>
      </c>
      <c r="BQ24" s="135">
        <v>2470.44</v>
      </c>
      <c r="BR24" s="1">
        <v>2527.25</v>
      </c>
      <c r="BS24" s="1">
        <v>2468.46</v>
      </c>
      <c r="BT24" s="1">
        <v>2397.05</v>
      </c>
      <c r="BU24" s="1">
        <v>2503.35</v>
      </c>
      <c r="BV24" s="1">
        <v>2583.9</v>
      </c>
    </row>
    <row r="25" spans="1:77" ht="12.75">
      <c r="A25" t="s">
        <v>172</v>
      </c>
      <c r="B25">
        <f aca="true" t="shared" si="3" ref="B25:AI25">ROUND(B24/$B$24*100,0)</f>
        <v>100</v>
      </c>
      <c r="C25">
        <f t="shared" si="3"/>
        <v>99</v>
      </c>
      <c r="D25">
        <f t="shared" si="3"/>
        <v>100</v>
      </c>
      <c r="E25">
        <f t="shared" si="3"/>
        <v>96</v>
      </c>
      <c r="F25">
        <f t="shared" si="3"/>
        <v>99</v>
      </c>
      <c r="G25">
        <f t="shared" si="3"/>
        <v>105</v>
      </c>
      <c r="H25">
        <f t="shared" si="3"/>
        <v>110</v>
      </c>
      <c r="I25">
        <f t="shared" si="3"/>
        <v>101</v>
      </c>
      <c r="J25">
        <f t="shared" si="3"/>
        <v>101</v>
      </c>
      <c r="K25">
        <f t="shared" si="3"/>
        <v>106</v>
      </c>
      <c r="L25">
        <f t="shared" si="3"/>
        <v>102</v>
      </c>
      <c r="M25">
        <f t="shared" si="3"/>
        <v>102</v>
      </c>
      <c r="N25">
        <f t="shared" si="3"/>
        <v>104</v>
      </c>
      <c r="O25">
        <f t="shared" si="3"/>
        <v>104</v>
      </c>
      <c r="P25">
        <f t="shared" si="3"/>
        <v>111</v>
      </c>
      <c r="Q25">
        <f t="shared" si="3"/>
        <v>103</v>
      </c>
      <c r="R25">
        <f t="shared" si="3"/>
        <v>104</v>
      </c>
      <c r="S25">
        <f t="shared" si="3"/>
        <v>98</v>
      </c>
      <c r="T25">
        <f t="shared" si="3"/>
        <v>99</v>
      </c>
      <c r="U25">
        <f t="shared" si="3"/>
        <v>103</v>
      </c>
      <c r="V25" s="20">
        <f t="shared" si="3"/>
        <v>96</v>
      </c>
      <c r="W25" s="20">
        <f t="shared" si="3"/>
        <v>92</v>
      </c>
      <c r="X25" s="20">
        <f t="shared" si="3"/>
        <v>96</v>
      </c>
      <c r="Y25" s="20">
        <f t="shared" si="3"/>
        <v>96</v>
      </c>
      <c r="Z25" s="20">
        <f t="shared" si="3"/>
        <v>93</v>
      </c>
      <c r="AA25" s="20">
        <f t="shared" si="3"/>
        <v>90</v>
      </c>
      <c r="AB25" s="20">
        <f t="shared" si="3"/>
        <v>88</v>
      </c>
      <c r="AC25" s="20">
        <f t="shared" si="3"/>
        <v>79</v>
      </c>
      <c r="AD25" s="20">
        <f t="shared" si="3"/>
        <v>82</v>
      </c>
      <c r="AE25" s="20">
        <f t="shared" si="3"/>
        <v>85</v>
      </c>
      <c r="AF25" s="20">
        <f t="shared" si="3"/>
        <v>86</v>
      </c>
      <c r="AG25" s="20">
        <f t="shared" si="3"/>
        <v>85</v>
      </c>
      <c r="AH25" s="20">
        <f t="shared" si="3"/>
        <v>85</v>
      </c>
      <c r="AI25" s="20">
        <f t="shared" si="3"/>
        <v>87</v>
      </c>
      <c r="AJ25" s="20">
        <v>85</v>
      </c>
      <c r="AK25" s="20">
        <v>84</v>
      </c>
      <c r="AL25" s="20">
        <v>77</v>
      </c>
      <c r="AM25" s="20">
        <v>68</v>
      </c>
      <c r="AN25" s="20">
        <v>69</v>
      </c>
      <c r="AO25" s="20">
        <v>61</v>
      </c>
      <c r="AP25" s="20">
        <v>66</v>
      </c>
      <c r="AQ25" s="20">
        <v>68</v>
      </c>
      <c r="AR25" s="20">
        <v>65</v>
      </c>
      <c r="AS25" s="20">
        <v>60</v>
      </c>
      <c r="AT25" s="20">
        <v>60</v>
      </c>
      <c r="AU25" s="159">
        <v>59</v>
      </c>
      <c r="AV25" s="159">
        <f aca="true" t="shared" si="4" ref="AV25:BV25">ROUND(AV24/$B$24*100,0)</f>
        <v>65</v>
      </c>
      <c r="AW25" s="159">
        <f t="shared" si="4"/>
        <v>67</v>
      </c>
      <c r="AX25" s="159">
        <f t="shared" si="4"/>
        <v>67</v>
      </c>
      <c r="AY25" s="159">
        <f t="shared" si="4"/>
        <v>69</v>
      </c>
      <c r="AZ25" s="159">
        <f t="shared" si="4"/>
        <v>70</v>
      </c>
      <c r="BA25" s="159">
        <f t="shared" si="4"/>
        <v>70</v>
      </c>
      <c r="BB25" s="159">
        <f t="shared" si="4"/>
        <v>72</v>
      </c>
      <c r="BC25" s="159">
        <f t="shared" si="4"/>
        <v>73</v>
      </c>
      <c r="BD25" s="159">
        <f t="shared" si="4"/>
        <v>75</v>
      </c>
      <c r="BE25" s="159">
        <f t="shared" si="4"/>
        <v>74</v>
      </c>
      <c r="BF25" s="159">
        <f t="shared" si="4"/>
        <v>76</v>
      </c>
      <c r="BG25" s="159">
        <f t="shared" si="4"/>
        <v>75</v>
      </c>
      <c r="BH25" s="159">
        <f t="shared" si="4"/>
        <v>76</v>
      </c>
      <c r="BI25" s="159">
        <f t="shared" si="4"/>
        <v>75</v>
      </c>
      <c r="BJ25" s="159">
        <f t="shared" si="4"/>
        <v>74</v>
      </c>
      <c r="BK25" s="159">
        <f t="shared" si="4"/>
        <v>74</v>
      </c>
      <c r="BL25" s="159">
        <f t="shared" si="4"/>
        <v>75</v>
      </c>
      <c r="BM25" s="159">
        <f t="shared" si="4"/>
        <v>78</v>
      </c>
      <c r="BN25" s="159">
        <f t="shared" si="4"/>
        <v>78</v>
      </c>
      <c r="BO25" s="159">
        <f t="shared" si="4"/>
        <v>80</v>
      </c>
      <c r="BP25" s="159">
        <f t="shared" si="4"/>
        <v>82</v>
      </c>
      <c r="BQ25" s="159">
        <f t="shared" si="4"/>
        <v>84</v>
      </c>
      <c r="BR25" s="159">
        <f t="shared" si="4"/>
        <v>86</v>
      </c>
      <c r="BS25" s="159">
        <f t="shared" si="4"/>
        <v>84</v>
      </c>
      <c r="BT25" s="159">
        <f t="shared" si="4"/>
        <v>81</v>
      </c>
      <c r="BU25" s="159">
        <f t="shared" si="4"/>
        <v>85</v>
      </c>
      <c r="BV25" s="159">
        <f t="shared" si="4"/>
        <v>88</v>
      </c>
      <c r="BW25" s="135"/>
      <c r="BY25" s="135"/>
    </row>
    <row r="26" spans="13:77" ht="12.75">
      <c r="M26" s="160"/>
      <c r="V26" s="20"/>
      <c r="W26" s="20"/>
      <c r="X26" s="20"/>
      <c r="AD26" s="82"/>
      <c r="AF26" s="82"/>
      <c r="AG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161"/>
      <c r="BH26" s="16"/>
      <c r="BU26" s="1"/>
      <c r="BY26" s="135"/>
    </row>
    <row r="27" spans="1:77" ht="12.75">
      <c r="A27" t="s">
        <v>173</v>
      </c>
      <c r="B27">
        <v>1701.17</v>
      </c>
      <c r="C27">
        <v>1810.68</v>
      </c>
      <c r="D27">
        <v>1883.76</v>
      </c>
      <c r="E27">
        <v>1913.15</v>
      </c>
      <c r="F27">
        <v>1919.76</v>
      </c>
      <c r="G27">
        <v>2197.76</v>
      </c>
      <c r="H27">
        <v>3077.80999999999</v>
      </c>
      <c r="I27">
        <v>3779.40999999999</v>
      </c>
      <c r="J27">
        <v>3927.55999999999</v>
      </c>
      <c r="K27">
        <v>5342.36999999999</v>
      </c>
      <c r="L27">
        <v>4083.30999999999</v>
      </c>
      <c r="M27">
        <v>3671.98999999999</v>
      </c>
      <c r="N27">
        <v>3362.01</v>
      </c>
      <c r="O27">
        <v>3575.34</v>
      </c>
      <c r="P27">
        <v>4259.60999999999</v>
      </c>
      <c r="Q27">
        <v>3782</v>
      </c>
      <c r="R27">
        <v>3431.38999999999</v>
      </c>
      <c r="S27">
        <v>2594.73</v>
      </c>
      <c r="T27">
        <v>2344.61</v>
      </c>
      <c r="U27">
        <v>2808</v>
      </c>
      <c r="V27" s="85">
        <v>2248.43</v>
      </c>
      <c r="W27" s="20">
        <v>1927.57</v>
      </c>
      <c r="X27" s="85">
        <v>2051.16</v>
      </c>
      <c r="Y27">
        <v>2020.1</v>
      </c>
      <c r="Z27">
        <v>1788.19</v>
      </c>
      <c r="AA27" s="82">
        <v>1573.67</v>
      </c>
      <c r="AB27" s="82">
        <v>1448.15</v>
      </c>
      <c r="AC27" s="82">
        <v>1153.02</v>
      </c>
      <c r="AD27" s="82">
        <v>1363.75</v>
      </c>
      <c r="AE27">
        <v>1501.91</v>
      </c>
      <c r="AF27" s="82">
        <v>1465</v>
      </c>
      <c r="AG27" s="82">
        <v>1347.14</v>
      </c>
      <c r="AH27" s="82">
        <v>1245.49</v>
      </c>
      <c r="AI27" s="75">
        <v>1199.98</v>
      </c>
      <c r="AJ27" s="75">
        <v>1101.87</v>
      </c>
      <c r="AK27" s="75">
        <v>1002.54</v>
      </c>
      <c r="AL27" s="75">
        <v>860</v>
      </c>
      <c r="AM27" s="75">
        <v>755</v>
      </c>
      <c r="AN27" s="75">
        <v>785</v>
      </c>
      <c r="AO27" s="75">
        <v>635</v>
      </c>
      <c r="AP27" s="75">
        <v>689.39</v>
      </c>
      <c r="AQ27" s="75">
        <v>725.65</v>
      </c>
      <c r="AR27" s="75">
        <v>662.4</v>
      </c>
      <c r="AS27" s="75">
        <v>625</v>
      </c>
      <c r="AT27" s="75">
        <v>602.06</v>
      </c>
      <c r="AU27" s="162">
        <v>590.28</v>
      </c>
      <c r="AV27">
        <v>683.81</v>
      </c>
      <c r="AW27">
        <v>774.31</v>
      </c>
      <c r="AX27">
        <v>774.92</v>
      </c>
      <c r="AY27">
        <v>857.53</v>
      </c>
      <c r="AZ27" s="16">
        <v>907.64</v>
      </c>
      <c r="BA27" s="16">
        <v>907.64</v>
      </c>
      <c r="BB27" s="16">
        <v>1021.22</v>
      </c>
      <c r="BC27" s="16">
        <v>1012.29</v>
      </c>
      <c r="BD27" s="16">
        <v>1023.82</v>
      </c>
      <c r="BE27" s="16">
        <v>1092.35</v>
      </c>
      <c r="BF27" s="16">
        <v>1190</v>
      </c>
      <c r="BG27" s="16">
        <v>1187.13</v>
      </c>
      <c r="BH27" s="16">
        <v>1175</v>
      </c>
      <c r="BI27" s="1">
        <v>1143.71</v>
      </c>
      <c r="BJ27" s="16">
        <v>1136.85</v>
      </c>
      <c r="BK27" s="1">
        <v>1063.56</v>
      </c>
      <c r="BL27" s="135">
        <v>1034.75</v>
      </c>
      <c r="BM27" s="135">
        <v>1105.08</v>
      </c>
      <c r="BN27" s="1">
        <v>1136.47</v>
      </c>
      <c r="BO27" s="135">
        <v>1195.57</v>
      </c>
      <c r="BP27" s="1">
        <v>1196.43</v>
      </c>
      <c r="BQ27" s="135">
        <v>1248.42</v>
      </c>
      <c r="BR27" s="1">
        <v>1174.53</v>
      </c>
      <c r="BS27" s="1">
        <v>1143.27</v>
      </c>
      <c r="BT27" s="1">
        <v>1082.22</v>
      </c>
      <c r="BU27" s="1">
        <v>1160.89</v>
      </c>
      <c r="BV27" s="1">
        <v>1201.56</v>
      </c>
      <c r="BY27" s="135"/>
    </row>
    <row r="28" spans="1:77" ht="12.75">
      <c r="A28" t="s">
        <v>173</v>
      </c>
      <c r="B28">
        <f aca="true" t="shared" si="5" ref="B28:AI28">ROUND(B27/$B$27*100,0)</f>
        <v>100</v>
      </c>
      <c r="C28">
        <f t="shared" si="5"/>
        <v>106</v>
      </c>
      <c r="D28">
        <f t="shared" si="5"/>
        <v>111</v>
      </c>
      <c r="E28">
        <f t="shared" si="5"/>
        <v>112</v>
      </c>
      <c r="F28">
        <f t="shared" si="5"/>
        <v>113</v>
      </c>
      <c r="G28">
        <f t="shared" si="5"/>
        <v>129</v>
      </c>
      <c r="H28">
        <f t="shared" si="5"/>
        <v>181</v>
      </c>
      <c r="I28">
        <f t="shared" si="5"/>
        <v>222</v>
      </c>
      <c r="J28">
        <f t="shared" si="5"/>
        <v>231</v>
      </c>
      <c r="K28">
        <f t="shared" si="5"/>
        <v>314</v>
      </c>
      <c r="L28">
        <f t="shared" si="5"/>
        <v>240</v>
      </c>
      <c r="M28">
        <f t="shared" si="5"/>
        <v>216</v>
      </c>
      <c r="N28">
        <f t="shared" si="5"/>
        <v>198</v>
      </c>
      <c r="O28">
        <f t="shared" si="5"/>
        <v>210</v>
      </c>
      <c r="P28">
        <f t="shared" si="5"/>
        <v>250</v>
      </c>
      <c r="Q28">
        <f t="shared" si="5"/>
        <v>222</v>
      </c>
      <c r="R28">
        <f t="shared" si="5"/>
        <v>202</v>
      </c>
      <c r="S28">
        <f t="shared" si="5"/>
        <v>153</v>
      </c>
      <c r="T28">
        <f t="shared" si="5"/>
        <v>138</v>
      </c>
      <c r="U28">
        <f t="shared" si="5"/>
        <v>165</v>
      </c>
      <c r="V28">
        <f t="shared" si="5"/>
        <v>132</v>
      </c>
      <c r="W28">
        <f t="shared" si="5"/>
        <v>113</v>
      </c>
      <c r="X28">
        <f t="shared" si="5"/>
        <v>121</v>
      </c>
      <c r="Y28">
        <f t="shared" si="5"/>
        <v>119</v>
      </c>
      <c r="Z28">
        <f t="shared" si="5"/>
        <v>105</v>
      </c>
      <c r="AA28">
        <f t="shared" si="5"/>
        <v>93</v>
      </c>
      <c r="AB28">
        <f t="shared" si="5"/>
        <v>85</v>
      </c>
      <c r="AC28">
        <f t="shared" si="5"/>
        <v>68</v>
      </c>
      <c r="AD28">
        <f t="shared" si="5"/>
        <v>80</v>
      </c>
      <c r="AE28">
        <f t="shared" si="5"/>
        <v>88</v>
      </c>
      <c r="AF28">
        <f t="shared" si="5"/>
        <v>86</v>
      </c>
      <c r="AG28">
        <f t="shared" si="5"/>
        <v>79</v>
      </c>
      <c r="AH28" s="78">
        <f t="shared" si="5"/>
        <v>73</v>
      </c>
      <c r="AI28" s="78">
        <f t="shared" si="5"/>
        <v>71</v>
      </c>
      <c r="AJ28" s="78">
        <v>65</v>
      </c>
      <c r="AK28">
        <v>59</v>
      </c>
      <c r="AL28">
        <v>51</v>
      </c>
      <c r="AM28">
        <v>44</v>
      </c>
      <c r="AN28">
        <v>46</v>
      </c>
      <c r="AO28">
        <v>37</v>
      </c>
      <c r="AP28">
        <v>41</v>
      </c>
      <c r="AQ28">
        <v>43</v>
      </c>
      <c r="AR28">
        <v>39</v>
      </c>
      <c r="AS28">
        <v>37</v>
      </c>
      <c r="AT28">
        <v>35</v>
      </c>
      <c r="AU28">
        <v>35</v>
      </c>
      <c r="AV28" s="159">
        <f aca="true" t="shared" si="6" ref="AV28:BV28">ROUND(AV27/$B$27*100,0)</f>
        <v>40</v>
      </c>
      <c r="AW28" s="159">
        <f t="shared" si="6"/>
        <v>46</v>
      </c>
      <c r="AX28" s="159">
        <f t="shared" si="6"/>
        <v>46</v>
      </c>
      <c r="AY28" s="159">
        <f t="shared" si="6"/>
        <v>50</v>
      </c>
      <c r="AZ28" s="159">
        <f t="shared" si="6"/>
        <v>53</v>
      </c>
      <c r="BA28" s="159">
        <f t="shared" si="6"/>
        <v>53</v>
      </c>
      <c r="BB28" s="159">
        <f t="shared" si="6"/>
        <v>60</v>
      </c>
      <c r="BC28" s="159">
        <f t="shared" si="6"/>
        <v>60</v>
      </c>
      <c r="BD28" s="159">
        <f t="shared" si="6"/>
        <v>60</v>
      </c>
      <c r="BE28" s="159">
        <f t="shared" si="6"/>
        <v>64</v>
      </c>
      <c r="BF28" s="159">
        <f t="shared" si="6"/>
        <v>70</v>
      </c>
      <c r="BG28" s="159">
        <f t="shared" si="6"/>
        <v>70</v>
      </c>
      <c r="BH28" s="159">
        <f t="shared" si="6"/>
        <v>69</v>
      </c>
      <c r="BI28" s="159">
        <f t="shared" si="6"/>
        <v>67</v>
      </c>
      <c r="BJ28" s="159">
        <f t="shared" si="6"/>
        <v>67</v>
      </c>
      <c r="BK28" s="159">
        <f t="shared" si="6"/>
        <v>63</v>
      </c>
      <c r="BL28" s="159">
        <f t="shared" si="6"/>
        <v>61</v>
      </c>
      <c r="BM28" s="159">
        <f t="shared" si="6"/>
        <v>65</v>
      </c>
      <c r="BN28" s="159">
        <f t="shared" si="6"/>
        <v>67</v>
      </c>
      <c r="BO28" s="159">
        <f t="shared" si="6"/>
        <v>70</v>
      </c>
      <c r="BP28" s="159">
        <f t="shared" si="6"/>
        <v>70</v>
      </c>
      <c r="BQ28" s="159">
        <f t="shared" si="6"/>
        <v>73</v>
      </c>
      <c r="BR28" s="159">
        <f t="shared" si="6"/>
        <v>69</v>
      </c>
      <c r="BS28" s="159">
        <f t="shared" si="6"/>
        <v>67</v>
      </c>
      <c r="BT28" s="159">
        <f t="shared" si="6"/>
        <v>64</v>
      </c>
      <c r="BU28" s="159">
        <f t="shared" si="6"/>
        <v>68</v>
      </c>
      <c r="BV28" s="159">
        <f t="shared" si="6"/>
        <v>71</v>
      </c>
      <c r="BW28" s="135"/>
      <c r="BY28" s="135"/>
    </row>
    <row r="29" spans="8:13" ht="12.75">
      <c r="H29" s="163"/>
      <c r="M29" s="160"/>
    </row>
    <row r="30" spans="8:13" ht="12.75">
      <c r="H30" s="163"/>
      <c r="M30" s="160"/>
    </row>
    <row r="31" spans="8:62" ht="12.75">
      <c r="H31" s="163"/>
      <c r="M31" s="160"/>
      <c r="BJ31" s="1"/>
    </row>
    <row r="32" spans="8:65" ht="12.75">
      <c r="H32" s="163"/>
      <c r="M32" s="160"/>
      <c r="BI32" s="1"/>
      <c r="BM32" s="1"/>
    </row>
    <row r="33" spans="8:52" ht="12.75">
      <c r="H33" s="163"/>
      <c r="M33" s="160"/>
      <c r="AX33" s="135"/>
      <c r="AZ33" s="164"/>
    </row>
    <row r="34" spans="8:75" ht="12.75">
      <c r="H34" s="163"/>
      <c r="M34" s="160"/>
      <c r="AX34" s="135"/>
      <c r="AZ34" s="164"/>
      <c r="BR34" s="1"/>
      <c r="BS34" s="1"/>
      <c r="BT34" s="1"/>
      <c r="BU34" s="1"/>
      <c r="BV34" s="1"/>
      <c r="BW34" s="1"/>
    </row>
    <row r="35" spans="8:75" ht="12.75">
      <c r="H35" s="163"/>
      <c r="M35" s="160"/>
      <c r="AX35" s="135"/>
      <c r="AZ35" s="164"/>
      <c r="BR35" s="1"/>
      <c r="BS35" s="1"/>
      <c r="BT35" s="1"/>
      <c r="BU35" s="1"/>
      <c r="BV35" s="1"/>
      <c r="BW35" s="1"/>
    </row>
    <row r="36" spans="8:75" ht="12.75">
      <c r="H36" s="163"/>
      <c r="M36" s="160"/>
      <c r="AX36" s="135"/>
      <c r="AZ36" s="164"/>
      <c r="BR36" s="1"/>
      <c r="BS36" s="1"/>
      <c r="BU36" s="1"/>
      <c r="BV36" s="1"/>
      <c r="BW36" s="1"/>
    </row>
    <row r="37" spans="8:75" ht="12.75">
      <c r="H37" s="163"/>
      <c r="M37" s="160"/>
      <c r="BR37" s="1"/>
      <c r="BS37" s="1"/>
      <c r="BU37" s="1"/>
      <c r="BV37" s="1"/>
      <c r="BW37" s="1"/>
    </row>
    <row r="38" spans="8:75" ht="12.75">
      <c r="H38" s="163"/>
      <c r="BR38" s="1"/>
      <c r="BS38" s="1"/>
      <c r="BT38" s="1"/>
      <c r="BU38" s="1"/>
      <c r="BV38" s="1"/>
      <c r="BW38" s="1"/>
    </row>
    <row r="39" ht="12.75">
      <c r="H39" s="163"/>
    </row>
    <row r="40" ht="12.75">
      <c r="H40" s="163"/>
    </row>
    <row r="41" ht="12.75">
      <c r="H41" s="163"/>
    </row>
    <row r="42" ht="12.75">
      <c r="H42" s="163"/>
    </row>
    <row r="43" ht="12.75">
      <c r="H43" s="163"/>
    </row>
    <row r="44" ht="12.75">
      <c r="H44" s="163"/>
    </row>
    <row r="45" ht="12.75">
      <c r="H45" s="163"/>
    </row>
    <row r="46" ht="12.75">
      <c r="H46" s="163"/>
    </row>
  </sheetData>
  <printOptions/>
  <pageMargins left="0.62" right="0.58" top="1" bottom="1" header="0.5" footer="0.5"/>
  <pageSetup horizontalDpi="300" verticalDpi="300" orientation="portrait" paperSize="9"/>
  <headerFooter alignWithMargins="0">
    <oddHeader>&amp;CRoborough Investment Club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Zarlink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QUOTE.FOOL.CO.UK</dc:title>
  <dc:subject/>
  <dc:creator>Bouhallier Cyril</dc:creator>
  <cp:keywords/>
  <dc:description/>
  <cp:lastModifiedBy>floyd</cp:lastModifiedBy>
  <cp:lastPrinted>2003-02-28T23:48:48Z</cp:lastPrinted>
  <dcterms:created xsi:type="dcterms:W3CDTF">1999-07-07T21:41:48Z</dcterms:created>
  <dcterms:modified xsi:type="dcterms:W3CDTF">2005-07-05T17:56:22Z</dcterms:modified>
  <cp:category/>
  <cp:version/>
  <cp:contentType/>
  <cp:contentStatus/>
</cp:coreProperties>
</file>