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72" activeTab="11"/>
  </bookViews>
  <sheets>
    <sheet name="Cash" sheetId="1" r:id="rId1"/>
    <sheet name="Units" sheetId="2" r:id="rId2"/>
    <sheet name="Assets" sheetId="3" r:id="rId3"/>
    <sheet name="Summary" sheetId="4" r:id="rId4"/>
    <sheet name="Lloyd TSB" sheetId="5" r:id="rId5"/>
    <sheet name="Comdirect" sheetId="6" r:id="rId6"/>
    <sheet name="Charles Schwab" sheetId="7" r:id="rId7"/>
    <sheet name="Team Split" sheetId="8" r:id="rId8"/>
    <sheet name="Unit Graph" sheetId="9" r:id="rId9"/>
    <sheet name="Graph Data" sheetId="10" r:id="rId10"/>
    <sheet name="Tax" sheetId="11" r:id="rId11"/>
    <sheet name="Tax Summary" sheetId="12" r:id="rId12"/>
  </sheets>
  <definedNames>
    <definedName name="_xlnm.Print_Area" localSheetId="2">'Assets'!#REF!</definedName>
    <definedName name="_xlnm.Print_Area" localSheetId="0">'Cash'!#REF!</definedName>
    <definedName name="_xlnm.Print_Area" localSheetId="9">'Graph Data'!$A$1:$K$79</definedName>
    <definedName name="_xlnm.Print_Area" localSheetId="1">'Units'!$A$1:$M$1</definedName>
    <definedName name="TABLE" localSheetId="2">'Assets'!#REF!</definedName>
    <definedName name="TABLE" localSheetId="0">'Cash'!#REF!</definedName>
    <definedName name="TABLE" localSheetId="9">'Graph Data'!$N$53:$N$53</definedName>
    <definedName name="TABLE_10" localSheetId="2">'Assets'!#REF!</definedName>
    <definedName name="TABLE_10" localSheetId="0">'Cash'!#REF!</definedName>
    <definedName name="TABLE_10" localSheetId="9">'Graph Data'!$AU$56:$AU$56</definedName>
    <definedName name="TABLE_11" localSheetId="2">'Assets'!#REF!</definedName>
    <definedName name="TABLE_11" localSheetId="0">'Cash'!#REF!</definedName>
    <definedName name="TABLE_11" localSheetId="9">'Graph Data'!$AU$56:$AU$56</definedName>
    <definedName name="TABLE_12" localSheetId="2">'Assets'!#REF!</definedName>
    <definedName name="TABLE_12" localSheetId="0">'Cash'!#REF!</definedName>
    <definedName name="TABLE_12" localSheetId="9">'Graph Data'!$AU$56:$AU$56</definedName>
    <definedName name="TABLE_13" localSheetId="2">'Assets'!#REF!</definedName>
    <definedName name="TABLE_13" localSheetId="0">'Cash'!#REF!</definedName>
    <definedName name="TABLE_13" localSheetId="9">'Graph Data'!$AU$56:$AU$56</definedName>
    <definedName name="TABLE_14" localSheetId="2">'Assets'!#REF!</definedName>
    <definedName name="TABLE_14" localSheetId="0">'Cash'!#REF!</definedName>
    <definedName name="TABLE_15" localSheetId="2">'Assets'!#REF!</definedName>
    <definedName name="TABLE_15" localSheetId="0">'Cash'!#REF!</definedName>
    <definedName name="TABLE_16" localSheetId="2">'Assets'!#REF!</definedName>
    <definedName name="TABLE_16" localSheetId="0">'Cash'!#REF!</definedName>
    <definedName name="TABLE_17" localSheetId="2">'Assets'!#REF!</definedName>
    <definedName name="TABLE_17" localSheetId="0">'Cash'!#REF!</definedName>
    <definedName name="TABLE_18" localSheetId="2">'Assets'!#REF!</definedName>
    <definedName name="TABLE_18" localSheetId="0">'Cash'!#REF!</definedName>
    <definedName name="TABLE_19" localSheetId="2">'Assets'!#REF!</definedName>
    <definedName name="TABLE_19" localSheetId="0">'Cash'!#REF!</definedName>
    <definedName name="TABLE_2" localSheetId="2">'Assets'!#REF!</definedName>
    <definedName name="TABLE_2" localSheetId="0">'Cash'!#REF!</definedName>
    <definedName name="TABLE_2" localSheetId="9">'Graph Data'!$O$53:$O$54</definedName>
    <definedName name="TABLE_20" localSheetId="2">'Assets'!#REF!</definedName>
    <definedName name="TABLE_20" localSheetId="0">'Cash'!#REF!</definedName>
    <definedName name="TABLE_21" localSheetId="2">'Assets'!#REF!</definedName>
    <definedName name="TABLE_21" localSheetId="0">'Cash'!#REF!</definedName>
    <definedName name="TABLE_22" localSheetId="2">'Assets'!#REF!</definedName>
    <definedName name="TABLE_22" localSheetId="0">'Cash'!#REF!</definedName>
    <definedName name="TABLE_23" localSheetId="2">'Assets'!#REF!</definedName>
    <definedName name="TABLE_23" localSheetId="0">'Cash'!#REF!</definedName>
    <definedName name="TABLE_24" localSheetId="2">'Assets'!#REF!</definedName>
    <definedName name="TABLE_24" localSheetId="0">'Cash'!#REF!</definedName>
    <definedName name="TABLE_25" localSheetId="2">'Assets'!#REF!</definedName>
    <definedName name="TABLE_25" localSheetId="0">'Cash'!#REF!</definedName>
    <definedName name="TABLE_26" localSheetId="2">'Assets'!#REF!</definedName>
    <definedName name="TABLE_26" localSheetId="0">'Cash'!#REF!</definedName>
    <definedName name="TABLE_27" localSheetId="2">'Assets'!#REF!</definedName>
    <definedName name="TABLE_27" localSheetId="0">'Cash'!#REF!</definedName>
    <definedName name="TABLE_28" localSheetId="2">'Assets'!#REF!</definedName>
    <definedName name="TABLE_28" localSheetId="0">'Cash'!#REF!</definedName>
    <definedName name="TABLE_29" localSheetId="2">'Assets'!#REF!</definedName>
    <definedName name="TABLE_29" localSheetId="0">'Cash'!#REF!</definedName>
    <definedName name="TABLE_3" localSheetId="2">'Assets'!#REF!</definedName>
    <definedName name="TABLE_3" localSheetId="0">'Cash'!#REF!</definedName>
    <definedName name="TABLE_3" localSheetId="9">'Graph Data'!$P$53:$P$54</definedName>
    <definedName name="TABLE_30" localSheetId="2">'Assets'!#REF!</definedName>
    <definedName name="TABLE_30" localSheetId="0">'Cash'!#REF!</definedName>
    <definedName name="TABLE_31" localSheetId="2">'Assets'!#REF!</definedName>
    <definedName name="TABLE_31" localSheetId="0">'Cash'!#REF!</definedName>
    <definedName name="TABLE_32" localSheetId="2">'Assets'!#REF!</definedName>
    <definedName name="TABLE_32" localSheetId="0">'Cash'!#REF!</definedName>
    <definedName name="TABLE_33" localSheetId="2">'Assets'!#REF!</definedName>
    <definedName name="TABLE_34" localSheetId="2">'Assets'!#REF!</definedName>
    <definedName name="TABLE_35" localSheetId="2">'Assets'!#REF!</definedName>
    <definedName name="TABLE_36" localSheetId="2">'Assets'!#REF!</definedName>
    <definedName name="TABLE_37" localSheetId="2">'Assets'!#REF!</definedName>
    <definedName name="TABLE_38" localSheetId="2">'Assets'!#REF!</definedName>
    <definedName name="TABLE_39" localSheetId="2">'Assets'!#REF!</definedName>
    <definedName name="TABLE_4" localSheetId="2">'Assets'!#REF!</definedName>
    <definedName name="TABLE_4" localSheetId="0">'Cash'!#REF!</definedName>
    <definedName name="TABLE_4" localSheetId="9">'Graph Data'!$V$56:$V$56</definedName>
    <definedName name="TABLE_40" localSheetId="2">'Assets'!#REF!</definedName>
    <definedName name="TABLE_41" localSheetId="2">'Assets'!#REF!</definedName>
    <definedName name="TABLE_42" localSheetId="2">'Assets'!#REF!</definedName>
    <definedName name="TABLE_43" localSheetId="2">'Assets'!#REF!</definedName>
    <definedName name="TABLE_44" localSheetId="2">'Assets'!#REF!</definedName>
    <definedName name="TABLE_45" localSheetId="2">'Assets'!#REF!</definedName>
    <definedName name="TABLE_46" localSheetId="2">'Assets'!#REF!</definedName>
    <definedName name="TABLE_47" localSheetId="2">'Assets'!#REF!</definedName>
    <definedName name="TABLE_48" localSheetId="2">'Assets'!#REF!</definedName>
    <definedName name="TABLE_49" localSheetId="2">'Assets'!#REF!</definedName>
    <definedName name="TABLE_5" localSheetId="2">'Assets'!#REF!</definedName>
    <definedName name="TABLE_5" localSheetId="0">'Cash'!#REF!</definedName>
    <definedName name="TABLE_5" localSheetId="9">'Graph Data'!$V$56:$V$56</definedName>
    <definedName name="TABLE_50" localSheetId="2">'Assets'!#REF!</definedName>
    <definedName name="TABLE_51" localSheetId="2">'Assets'!#REF!</definedName>
    <definedName name="TABLE_52" localSheetId="2">'Assets'!#REF!</definedName>
    <definedName name="TABLE_53" localSheetId="2">'Assets'!#REF!</definedName>
    <definedName name="TABLE_54" localSheetId="2">'Assets'!#REF!</definedName>
    <definedName name="TABLE_55" localSheetId="2">'Assets'!#REF!</definedName>
    <definedName name="TABLE_56" localSheetId="2">'Assets'!#REF!</definedName>
    <definedName name="TABLE_57" localSheetId="2">'Assets'!#REF!</definedName>
    <definedName name="TABLE_58" localSheetId="2">'Assets'!#REF!</definedName>
    <definedName name="TABLE_59" localSheetId="2">'Assets'!#REF!</definedName>
    <definedName name="TABLE_6" localSheetId="2">'Assets'!#REF!</definedName>
    <definedName name="TABLE_6" localSheetId="0">'Cash'!#REF!</definedName>
    <definedName name="TABLE_6" localSheetId="9">'Graph Data'!$AU$53:$AU$53</definedName>
    <definedName name="TABLE_60" localSheetId="2">'Assets'!#REF!</definedName>
    <definedName name="TABLE_61" localSheetId="2">'Assets'!#REF!</definedName>
    <definedName name="TABLE_62" localSheetId="2">'Assets'!#REF!</definedName>
    <definedName name="TABLE_63" localSheetId="2">'Assets'!#REF!</definedName>
    <definedName name="TABLE_64" localSheetId="2">'Assets'!#REF!</definedName>
    <definedName name="TABLE_65" localSheetId="2">'Assets'!#REF!</definedName>
    <definedName name="TABLE_66" localSheetId="2">'Assets'!#REF!</definedName>
    <definedName name="TABLE_67" localSheetId="2">'Assets'!#REF!</definedName>
    <definedName name="TABLE_68" localSheetId="2">'Assets'!#REF!</definedName>
    <definedName name="TABLE_7" localSheetId="2">'Assets'!#REF!</definedName>
    <definedName name="TABLE_7" localSheetId="0">'Cash'!#REF!</definedName>
    <definedName name="TABLE_7" localSheetId="9">'Graph Data'!$AU$53:$AU$53</definedName>
    <definedName name="TABLE_8" localSheetId="2">'Assets'!#REF!</definedName>
    <definedName name="TABLE_8" localSheetId="0">'Cash'!#REF!</definedName>
    <definedName name="TABLE_8" localSheetId="9">'Graph Data'!$AU$53:$AU$53</definedName>
    <definedName name="TABLE_9" localSheetId="2">'Assets'!#REF!</definedName>
    <definedName name="TABLE_9" localSheetId="0">'Cash'!#REF!</definedName>
    <definedName name="TABLE_9" localSheetId="9">'Graph Data'!$AU$53:$AU$53</definedName>
  </definedNames>
  <calcPr fullCalcOnLoad="1"/>
</workbook>
</file>

<file path=xl/comments1.xml><?xml version="1.0" encoding="utf-8"?>
<comments xmlns="http://schemas.openxmlformats.org/spreadsheetml/2006/main">
  <authors>
    <author>Cyril Bouhallier</author>
  </authors>
  <commentList>
    <comment ref="D126" authorId="0">
      <text>
        <r>
          <rPr>
            <sz val="8"/>
            <rFont val="Tahoma"/>
            <family val="2"/>
          </rPr>
          <t xml:space="preserve">First Class stamp (27p) owed to Cyril have been added to his monthly contribution. Used to send 
tax return to the taxman!
</t>
        </r>
      </text>
    </comment>
    <comment ref="K116" authorId="0">
      <text>
        <r>
          <rPr>
            <sz val="8"/>
            <rFont val="Tahoma"/>
            <family val="2"/>
          </rPr>
          <t xml:space="preserve">First Class stamp (27p)  to send tax return to the taxman!
</t>
        </r>
      </text>
    </comment>
    <comment ref="D191" authorId="0">
      <text>
        <r>
          <rPr>
            <sz val="8"/>
            <rFont val="Tahoma"/>
            <family val="2"/>
          </rPr>
          <t>First Class stamp (27p) owed to Cyril have been added to his monthly contribution. Used to send 
cheque to Rick Haggitt widow.</t>
        </r>
      </text>
    </comment>
    <comment ref="K181" authorId="0">
      <text>
        <r>
          <rPr>
            <sz val="8"/>
            <rFont val="Tahoma"/>
            <family val="2"/>
          </rPr>
          <t xml:space="preserve">First Class stamp (27p)  to Mrs Haggitt
</t>
        </r>
      </text>
    </comment>
    <comment ref="D249" authorId="0">
      <text>
        <r>
          <rPr>
            <sz val="8"/>
            <rFont val="Tahoma"/>
            <family val="2"/>
          </rPr>
          <t>Stamp to pay and
close Schwab account</t>
        </r>
      </text>
    </comment>
    <comment ref="K242" authorId="0">
      <text>
        <r>
          <rPr>
            <sz val="8"/>
            <rFont val="Tahoma"/>
            <family val="2"/>
          </rPr>
          <t>Stamp to pay and
close Schwab account</t>
        </r>
      </text>
    </comment>
  </commentList>
</comments>
</file>

<file path=xl/comments2.xml><?xml version="1.0" encoding="utf-8"?>
<comments xmlns="http://schemas.openxmlformats.org/spreadsheetml/2006/main">
  <authors>
    <author>Cyril Bouhallier</author>
  </authors>
  <commentList>
    <comment ref="E88" authorId="0">
      <text>
        <r>
          <rPr>
            <sz val="8"/>
            <rFont val="Tahoma"/>
            <family val="2"/>
          </rPr>
          <t xml:space="preserve">First Class stamp (27p) owed to Cyril have been added to his monthly contribution. Used to send 
tax return to the taxman!
</t>
        </r>
      </text>
    </comment>
  </commentList>
</comments>
</file>

<file path=xl/comments5.xml><?xml version="1.0" encoding="utf-8"?>
<comments xmlns="http://schemas.openxmlformats.org/spreadsheetml/2006/main">
  <authors>
    <author>Cyril Bouhallier</author>
  </authors>
  <commentList>
    <comment ref="C128" authorId="0">
      <text>
        <r>
          <rPr>
            <sz val="8"/>
            <rFont val="Tahoma"/>
            <family val="0"/>
          </rPr>
          <t>Cheque to Lawrence Watson</t>
        </r>
      </text>
    </comment>
    <comment ref="C201" authorId="0">
      <text>
        <r>
          <rPr>
            <sz val="8"/>
            <rFont val="Tahoma"/>
            <family val="2"/>
          </rPr>
          <t>Cheque Mrs Haggitt</t>
        </r>
      </text>
    </comment>
    <comment ref="C183" authorId="0">
      <text>
        <r>
          <rPr>
            <sz val="8"/>
            <rFont val="Tahoma"/>
            <family val="2"/>
          </rPr>
          <t>Cheque Mrs Haggitt</t>
        </r>
      </text>
    </comment>
    <comment ref="C182" authorId="0">
      <text>
        <r>
          <rPr>
            <sz val="8"/>
            <rFont val="Tahoma"/>
            <family val="2"/>
          </rPr>
          <t>Deposit to Schwab</t>
        </r>
      </text>
    </comment>
  </commentList>
</comments>
</file>

<file path=xl/sharedStrings.xml><?xml version="1.0" encoding="utf-8"?>
<sst xmlns="http://schemas.openxmlformats.org/spreadsheetml/2006/main" count="2418" uniqueCount="326">
  <si>
    <t>Date</t>
  </si>
  <si>
    <t>Details</t>
  </si>
  <si>
    <t>Sundry Receipts</t>
  </si>
  <si>
    <t>Dividends</t>
  </si>
  <si>
    <t>Total Banked</t>
  </si>
  <si>
    <t>Alan Martin</t>
  </si>
  <si>
    <t>Dave Johnston</t>
  </si>
  <si>
    <t>Andy Davies</t>
  </si>
  <si>
    <t>Wez Davey</t>
  </si>
  <si>
    <t>Les Watson</t>
  </si>
  <si>
    <t>Geoff Floyd</t>
  </si>
  <si>
    <t>Andrew Watkins</t>
  </si>
  <si>
    <t>Sundry Payments</t>
  </si>
  <si>
    <t>Members Withdrawals</t>
  </si>
  <si>
    <t>Purchases of Investments</t>
  </si>
  <si>
    <t>Balance in hand</t>
  </si>
  <si>
    <t>Current a/c interest</t>
  </si>
  <si>
    <t>Members Subs</t>
  </si>
  <si>
    <t>Bank A/C</t>
  </si>
  <si>
    <t>Balances</t>
  </si>
  <si>
    <t>Units</t>
  </si>
  <si>
    <t>Deposits</t>
  </si>
  <si>
    <t>Unit Value</t>
  </si>
  <si>
    <t>No of Units</t>
  </si>
  <si>
    <t>Name of Company</t>
  </si>
  <si>
    <t>Total Cost</t>
  </si>
  <si>
    <t>No shares</t>
  </si>
  <si>
    <t>Average price</t>
  </si>
  <si>
    <t>Selling price</t>
  </si>
  <si>
    <t>Net selling value</t>
  </si>
  <si>
    <t>Profit or loss to date</t>
  </si>
  <si>
    <t>Change during month</t>
  </si>
  <si>
    <t>Chloride</t>
  </si>
  <si>
    <t>Total realisable value of securities</t>
  </si>
  <si>
    <t>Bank Balance</t>
  </si>
  <si>
    <t>Due to Club</t>
  </si>
  <si>
    <t>Total Assets</t>
  </si>
  <si>
    <t>Other liabilities</t>
  </si>
  <si>
    <t>Net assets of club</t>
  </si>
  <si>
    <t>Broker Charles Schwab balance</t>
  </si>
  <si>
    <t>Calculation to unit value</t>
  </si>
  <si>
    <t>Net assets</t>
  </si>
  <si>
    <t>issued units</t>
  </si>
  <si>
    <t>value per unit</t>
  </si>
  <si>
    <t>With</t>
  </si>
  <si>
    <t>Pace</t>
  </si>
  <si>
    <t>Cash</t>
  </si>
  <si>
    <t>Total</t>
  </si>
  <si>
    <t>365 Corp</t>
  </si>
  <si>
    <t>Phil Ainsley</t>
  </si>
  <si>
    <t>Franz Fuchs</t>
  </si>
  <si>
    <t>Vodafone</t>
  </si>
  <si>
    <t>Chris Bailey</t>
  </si>
  <si>
    <t>Rick Haggitt</t>
  </si>
  <si>
    <t>Allan Proudfoot</t>
  </si>
  <si>
    <t>VI Group</t>
  </si>
  <si>
    <t>Cyril Bouhallier</t>
  </si>
  <si>
    <t>Bond</t>
  </si>
  <si>
    <t>Unit months</t>
  </si>
  <si>
    <t>Interest</t>
  </si>
  <si>
    <t>Pru</t>
  </si>
  <si>
    <t>Tesco</t>
  </si>
  <si>
    <t>Barclays</t>
  </si>
  <si>
    <t>Investments</t>
  </si>
  <si>
    <t>Sales</t>
  </si>
  <si>
    <t>Company</t>
  </si>
  <si>
    <t>Quantity</t>
  </si>
  <si>
    <t>Price</t>
  </si>
  <si>
    <t>Profit</t>
  </si>
  <si>
    <t xml:space="preserve">Dividend Reciepts </t>
  </si>
  <si>
    <t>July</t>
  </si>
  <si>
    <t xml:space="preserve">Surplus realised on Club activities </t>
  </si>
  <si>
    <t>Share Purchases/Sales</t>
  </si>
  <si>
    <t>Dividends received</t>
  </si>
  <si>
    <t>Interest Received</t>
  </si>
  <si>
    <t>Total Income</t>
  </si>
  <si>
    <t>Dealing Costs</t>
  </si>
  <si>
    <t>Surplus</t>
  </si>
  <si>
    <t>Apr</t>
  </si>
  <si>
    <t>May</t>
  </si>
  <si>
    <t>Receipts</t>
  </si>
  <si>
    <t>Payments</t>
  </si>
  <si>
    <t>Frans Fuchs</t>
  </si>
  <si>
    <t>ICI</t>
  </si>
  <si>
    <t>M&amp;S</t>
  </si>
  <si>
    <t>FT All Share</t>
  </si>
  <si>
    <t>Broker</t>
  </si>
  <si>
    <t>Bank</t>
  </si>
  <si>
    <t>Purchase Cost</t>
  </si>
  <si>
    <t>Dealing Cost</t>
  </si>
  <si>
    <t>Sales Value</t>
  </si>
  <si>
    <t>Surplus cash</t>
  </si>
  <si>
    <t>Lloyds TSB Interest</t>
  </si>
  <si>
    <t>Other Costs</t>
  </si>
  <si>
    <t>Volex</t>
  </si>
  <si>
    <t>FEF</t>
  </si>
  <si>
    <t>TED</t>
  </si>
  <si>
    <t>Parthus</t>
  </si>
  <si>
    <t xml:space="preserve">Due from club </t>
  </si>
  <si>
    <t>TM100</t>
  </si>
  <si>
    <t>Boots</t>
  </si>
  <si>
    <t>Balance CF</t>
  </si>
  <si>
    <t>TT Group</t>
  </si>
  <si>
    <t>Ferraris</t>
  </si>
  <si>
    <t>GUS</t>
  </si>
  <si>
    <t>Lawrence Watson</t>
  </si>
  <si>
    <t>Balfour B</t>
  </si>
  <si>
    <t>Cadbury</t>
  </si>
  <si>
    <t>Carrs M</t>
  </si>
  <si>
    <t>FY01/02</t>
  </si>
  <si>
    <t>None</t>
  </si>
  <si>
    <t>Send</t>
  </si>
  <si>
    <t>June</t>
  </si>
  <si>
    <t>Expenses</t>
  </si>
  <si>
    <t>Schwab a/c interest</t>
  </si>
  <si>
    <t>Bank a/c interest</t>
  </si>
  <si>
    <t>August</t>
  </si>
  <si>
    <t>Sage Group</t>
  </si>
  <si>
    <t>Kelda</t>
  </si>
  <si>
    <t>Matalan</t>
  </si>
  <si>
    <t>Isued units</t>
  </si>
  <si>
    <t>Value per unit</t>
  </si>
  <si>
    <t>Persimmon</t>
  </si>
  <si>
    <t>Tea Leaves</t>
  </si>
  <si>
    <t>Coffe Beans</t>
  </si>
  <si>
    <t>Profit/loss</t>
  </si>
  <si>
    <t>Total Share</t>
  </si>
  <si>
    <t>Total Cash</t>
  </si>
  <si>
    <t>Receipt</t>
  </si>
  <si>
    <t>Net value</t>
  </si>
  <si>
    <t>Action</t>
  </si>
  <si>
    <t>Description</t>
  </si>
  <si>
    <t>Debit</t>
  </si>
  <si>
    <t>Credit</t>
  </si>
  <si>
    <t>Balance</t>
  </si>
  <si>
    <t>Withdrawal</t>
  </si>
  <si>
    <t>Sold</t>
  </si>
  <si>
    <t>Bought</t>
  </si>
  <si>
    <t>April Statement</t>
  </si>
  <si>
    <t>Interest Credited</t>
  </si>
  <si>
    <t>May Statement</t>
  </si>
  <si>
    <t>June Statement</t>
  </si>
  <si>
    <t>July Statement</t>
  </si>
  <si>
    <t>Dividend Tesco</t>
  </si>
  <si>
    <t>August Statement</t>
  </si>
  <si>
    <t>Net interest</t>
  </si>
  <si>
    <t>Cheque 000021</t>
  </si>
  <si>
    <t>September</t>
  </si>
  <si>
    <t>September Statement</t>
  </si>
  <si>
    <t>Enterprise Oil</t>
  </si>
  <si>
    <t>October</t>
  </si>
  <si>
    <t>Royal Sun Alliance</t>
  </si>
  <si>
    <t>Marconi</t>
  </si>
  <si>
    <t>Colt Telecom</t>
  </si>
  <si>
    <t>October Statement</t>
  </si>
  <si>
    <t>Dividend Kelda</t>
  </si>
  <si>
    <t>Kelda Dividend</t>
  </si>
  <si>
    <t>Royal Sun</t>
  </si>
  <si>
    <t>November</t>
  </si>
  <si>
    <t>Spirent</t>
  </si>
  <si>
    <t>Value</t>
  </si>
  <si>
    <t>Invested</t>
  </si>
  <si>
    <t>Return</t>
  </si>
  <si>
    <t>November Statement</t>
  </si>
  <si>
    <t>Charles Schwab</t>
  </si>
  <si>
    <t>Tesco Dividend</t>
  </si>
  <si>
    <t>December</t>
  </si>
  <si>
    <t>December Statement</t>
  </si>
  <si>
    <t>Transfer to Comdirect</t>
  </si>
  <si>
    <t>Broker A/C (Schwab)</t>
  </si>
  <si>
    <t>Broker A/C (Comdirect)</t>
  </si>
  <si>
    <t>Broker Comdirect balance</t>
  </si>
  <si>
    <t>Marconi buy</t>
  </si>
  <si>
    <t>January</t>
  </si>
  <si>
    <t>Chorion</t>
  </si>
  <si>
    <t>January Statement</t>
  </si>
  <si>
    <t>February</t>
  </si>
  <si>
    <t>February Statement</t>
  </si>
  <si>
    <t>Primary Healthcare</t>
  </si>
  <si>
    <t>Bank Interest</t>
  </si>
  <si>
    <t>Primary Healtcare</t>
  </si>
  <si>
    <t>March</t>
  </si>
  <si>
    <t>March Statement</t>
  </si>
  <si>
    <t>Transfer from Schwabb</t>
  </si>
  <si>
    <t>Securicor</t>
  </si>
  <si>
    <t>Man Group</t>
  </si>
  <si>
    <t>Comdirect interest</t>
  </si>
  <si>
    <t>Comdirect</t>
  </si>
  <si>
    <t>RSA</t>
  </si>
  <si>
    <t>PHP</t>
  </si>
  <si>
    <t>FY00/01</t>
  </si>
  <si>
    <t>Marconi bought</t>
  </si>
  <si>
    <t>Kelda dividend</t>
  </si>
  <si>
    <t>Rexam</t>
  </si>
  <si>
    <t>Members</t>
  </si>
  <si>
    <t>Issued units</t>
  </si>
  <si>
    <t>Roborough Investment Club FY02/03</t>
  </si>
  <si>
    <t>FY02/03</t>
  </si>
  <si>
    <t>Total 02/03</t>
  </si>
  <si>
    <t>April 2002 Asset</t>
  </si>
  <si>
    <t>Primary Healthcare Div</t>
  </si>
  <si>
    <t>Apr 2002 Asset</t>
  </si>
  <si>
    <t>May 2002 Asset</t>
  </si>
  <si>
    <t>Eckoch Technology</t>
  </si>
  <si>
    <t>Dividend Royal Sun Alliance</t>
  </si>
  <si>
    <t>Dividend PHP</t>
  </si>
  <si>
    <t>Dividend Chorion</t>
  </si>
  <si>
    <t>Chorion Dividend</t>
  </si>
  <si>
    <t>RSA Dividend</t>
  </si>
  <si>
    <t>Urbium</t>
  </si>
  <si>
    <t>Eckoch</t>
  </si>
  <si>
    <t>Primary Healthcare Dividend</t>
  </si>
  <si>
    <t>Royal Sun Alliance Dividend</t>
  </si>
  <si>
    <t>June 2002 Asset</t>
  </si>
  <si>
    <t>Jun</t>
  </si>
  <si>
    <t>Dividend Rexam</t>
  </si>
  <si>
    <t>Rexam Dividend</t>
  </si>
  <si>
    <t>Dividend Send</t>
  </si>
  <si>
    <t>Send Dividend</t>
  </si>
  <si>
    <t>Primary Heathcare</t>
  </si>
  <si>
    <t>June 2001 Asset</t>
  </si>
  <si>
    <t>Rexam Div</t>
  </si>
  <si>
    <t>Send Div</t>
  </si>
  <si>
    <t>July 2002 Asset</t>
  </si>
  <si>
    <t>PHP sold</t>
  </si>
  <si>
    <t>Chloride Div</t>
  </si>
  <si>
    <t>Chloride Dividend</t>
  </si>
  <si>
    <t>August 2002 Asset</t>
  </si>
  <si>
    <t>Jul</t>
  </si>
  <si>
    <t>Aug</t>
  </si>
  <si>
    <t>D S Smith</t>
  </si>
  <si>
    <t>September 2002 Asset</t>
  </si>
  <si>
    <t>Withdrawl</t>
  </si>
  <si>
    <t>Securicor Dividend</t>
  </si>
  <si>
    <t>Transfer from Comdirect</t>
  </si>
  <si>
    <t>DS Smith</t>
  </si>
  <si>
    <t>Marconi sold</t>
  </si>
  <si>
    <t>Owed to Lawrence Watson</t>
  </si>
  <si>
    <t>Sep</t>
  </si>
  <si>
    <t>DS Smith bought</t>
  </si>
  <si>
    <t>Stamp</t>
  </si>
  <si>
    <t>Cheque to LaW</t>
  </si>
  <si>
    <t>October 2002 Asset</t>
  </si>
  <si>
    <t>Dicom</t>
  </si>
  <si>
    <t>Euro Telecom</t>
  </si>
  <si>
    <t>Transfer from Schwab</t>
  </si>
  <si>
    <t>Securicor dividend</t>
  </si>
  <si>
    <t>Send takeover</t>
  </si>
  <si>
    <t>November 2002 Asset</t>
  </si>
  <si>
    <t>December 2002 Asset</t>
  </si>
  <si>
    <t>January 2003 Asset</t>
  </si>
  <si>
    <t>Kelda bought</t>
  </si>
  <si>
    <t xml:space="preserve">Mrs Haggitt </t>
  </si>
  <si>
    <t xml:space="preserve">Owed to Mrs Haggitt </t>
  </si>
  <si>
    <t>Cheque to RH</t>
  </si>
  <si>
    <t>Oct</t>
  </si>
  <si>
    <t>Nov</t>
  </si>
  <si>
    <t>%</t>
  </si>
  <si>
    <t>Transfer to LloydsTSB</t>
  </si>
  <si>
    <t>Eckoh Technology</t>
  </si>
  <si>
    <t>Deposit</t>
  </si>
  <si>
    <t>Dec</t>
  </si>
  <si>
    <t>Cheque 000029</t>
  </si>
  <si>
    <t>Cheque 000030</t>
  </si>
  <si>
    <t>Cheque 000031</t>
  </si>
  <si>
    <t>Paid early (Andy)</t>
  </si>
  <si>
    <t>Transfer from LloydsTSB</t>
  </si>
  <si>
    <t>Jan</t>
  </si>
  <si>
    <t>Eckoh bought</t>
  </si>
  <si>
    <t>Spirent bought</t>
  </si>
  <si>
    <t>Interserve</t>
  </si>
  <si>
    <t>February 2003 Asset</t>
  </si>
  <si>
    <t>Feb</t>
  </si>
  <si>
    <t>Transfer from Charles Schwab</t>
  </si>
  <si>
    <t>Rotork</t>
  </si>
  <si>
    <t xml:space="preserve">Rexam </t>
  </si>
  <si>
    <t>Dividend DS Smith</t>
  </si>
  <si>
    <t>Mar</t>
  </si>
  <si>
    <t>Stock Transfer Charge</t>
  </si>
  <si>
    <t xml:space="preserve">Chloride </t>
  </si>
  <si>
    <t>Buy</t>
  </si>
  <si>
    <t>March 2003 Asset</t>
  </si>
  <si>
    <t>Div DS Smith</t>
  </si>
  <si>
    <t>Date of Sale</t>
  </si>
  <si>
    <t>Date of acquisition</t>
  </si>
  <si>
    <t>Name of Company and description of security</t>
  </si>
  <si>
    <t>Acquisition price including expensis</t>
  </si>
  <si>
    <t>Net sale proceeds £</t>
  </si>
  <si>
    <t>Capital gains</t>
  </si>
  <si>
    <t>Number of shares</t>
  </si>
  <si>
    <t>Cost £</t>
  </si>
  <si>
    <t>Gains £</t>
  </si>
  <si>
    <t>Losses £</t>
  </si>
  <si>
    <t xml:space="preserve"> </t>
  </si>
  <si>
    <t>Totals</t>
  </si>
  <si>
    <t>Lloyds Interest</t>
  </si>
  <si>
    <t>Net</t>
  </si>
  <si>
    <t>Tax paid</t>
  </si>
  <si>
    <t>Gross</t>
  </si>
  <si>
    <t>Schwab</t>
  </si>
  <si>
    <t>TOTAL</t>
  </si>
  <si>
    <t>Member</t>
  </si>
  <si>
    <t>Capital</t>
  </si>
  <si>
    <t>Untaxed</t>
  </si>
  <si>
    <t xml:space="preserve">Dividend </t>
  </si>
  <si>
    <t>Dividend</t>
  </si>
  <si>
    <t>Taxed income</t>
  </si>
  <si>
    <t xml:space="preserve">Net disposal </t>
  </si>
  <si>
    <t>gain</t>
  </si>
  <si>
    <t xml:space="preserve"> income</t>
  </si>
  <si>
    <t>Tax credit</t>
  </si>
  <si>
    <t>Proceeds</t>
  </si>
  <si>
    <t>2002/2003</t>
  </si>
  <si>
    <t>Roborough Investment Club 2002/03</t>
  </si>
  <si>
    <t>£</t>
  </si>
  <si>
    <t>Opening Fund</t>
  </si>
  <si>
    <t>Receipts from Members</t>
  </si>
  <si>
    <t>Receipts from Sales</t>
  </si>
  <si>
    <t>(Gross)</t>
  </si>
  <si>
    <t>Dividends Received</t>
  </si>
  <si>
    <t>Purchases of Shares</t>
  </si>
  <si>
    <t>(Buying and Selling)</t>
  </si>
  <si>
    <t>Paid out to Members</t>
  </si>
  <si>
    <t>Sub Total</t>
  </si>
  <si>
    <t>Closing Fund</t>
  </si>
  <si>
    <t>Loss in Value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</si>
</sst>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0.0%"/>
    <numFmt numFmtId="166" formatCode="mmmmm"/>
    <numFmt numFmtId="167" formatCode="mmmmm\-yy"/>
    <numFmt numFmtId="168" formatCode="mmm\ yy"/>
    <numFmt numFmtId="169" formatCode="0.000"/>
    <numFmt numFmtId="170" formatCode="0.0"/>
    <numFmt numFmtId="171" formatCode="&quot;£&quot;#,##0.00"/>
    <numFmt numFmtId="172" formatCode="0.0000%"/>
    <numFmt numFmtId="173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30.75"/>
      <name val="Arial"/>
      <family val="0"/>
    </font>
    <font>
      <sz val="25.75"/>
      <name val="Arial"/>
      <family val="0"/>
    </font>
    <font>
      <b/>
      <sz val="25.75"/>
      <name val="Arial"/>
      <family val="0"/>
    </font>
    <font>
      <b/>
      <sz val="22.75"/>
      <name val="Arial"/>
      <family val="0"/>
    </font>
    <font>
      <sz val="16"/>
      <name val="Arial"/>
      <family val="2"/>
    </font>
    <font>
      <sz val="17.75"/>
      <name val="Arial"/>
      <family val="2"/>
    </font>
    <font>
      <sz val="8"/>
      <name val="Tahoma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0" xfId="0" applyNumberFormat="1" applyBorder="1" applyAlignment="1">
      <alignment/>
    </xf>
    <xf numFmtId="17" fontId="1" fillId="0" borderId="11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1" fontId="0" fillId="0" borderId="7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wrapText="1"/>
    </xf>
    <xf numFmtId="2" fontId="0" fillId="0" borderId="6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3" xfId="0" applyNumberFormat="1" applyBorder="1" applyAlignment="1">
      <alignment horizontal="left"/>
    </xf>
    <xf numFmtId="15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19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5" fontId="0" fillId="0" borderId="0" xfId="0" applyNumberFormat="1" applyFont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2" fontId="0" fillId="0" borderId="9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1" fontId="0" fillId="0" borderId="20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5" fontId="0" fillId="0" borderId="0" xfId="0" applyNumberFormat="1" applyFont="1" applyAlignment="1">
      <alignment horizontal="left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top"/>
    </xf>
    <xf numFmtId="15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15" fontId="0" fillId="0" borderId="6" xfId="0" applyNumberFormat="1" applyFont="1" applyFill="1" applyBorder="1" applyAlignment="1">
      <alignment horizontal="center"/>
    </xf>
    <xf numFmtId="15" fontId="0" fillId="0" borderId="6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horizontal="right"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Fill="1" applyBorder="1" applyAlignment="1">
      <alignment wrapText="1"/>
    </xf>
    <xf numFmtId="2" fontId="0" fillId="0" borderId="6" xfId="0" applyNumberFormat="1" applyBorder="1" applyAlignment="1">
      <alignment horizontal="left" wrapText="1"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Fill="1" applyBorder="1" applyAlignment="1">
      <alignment wrapText="1"/>
    </xf>
    <xf numFmtId="2" fontId="0" fillId="0" borderId="2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5" fontId="0" fillId="0" borderId="1" xfId="0" applyNumberFormat="1" applyBorder="1" applyAlignment="1">
      <alignment/>
    </xf>
    <xf numFmtId="2" fontId="0" fillId="0" borderId="0" xfId="0" applyNumberFormat="1" applyAlignment="1">
      <alignment horizontal="center" wrapText="1"/>
    </xf>
    <xf numFmtId="2" fontId="0" fillId="0" borderId="0" xfId="0" applyNumberFormat="1" applyFill="1" applyAlignment="1">
      <alignment horizontal="center"/>
    </xf>
    <xf numFmtId="2" fontId="0" fillId="0" borderId="21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5" fontId="0" fillId="0" borderId="0" xfId="0" applyNumberFormat="1" applyBorder="1" applyAlignment="1">
      <alignment/>
    </xf>
    <xf numFmtId="15" fontId="0" fillId="0" borderId="0" xfId="0" applyNumberFormat="1" applyAlignment="1">
      <alignment horizontal="center"/>
    </xf>
    <xf numFmtId="15" fontId="0" fillId="0" borderId="1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5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 vertical="top" wrapText="1"/>
    </xf>
    <xf numFmtId="2" fontId="0" fillId="0" borderId="7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 wrapText="1"/>
    </xf>
    <xf numFmtId="2" fontId="0" fillId="0" borderId="22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right" wrapText="1"/>
    </xf>
    <xf numFmtId="15" fontId="0" fillId="0" borderId="0" xfId="0" applyNumberFormat="1" applyFill="1" applyBorder="1" applyAlignment="1">
      <alignment/>
    </xf>
    <xf numFmtId="15" fontId="0" fillId="0" borderId="0" xfId="0" applyNumberFormat="1" applyFill="1" applyAlignment="1">
      <alignment/>
    </xf>
    <xf numFmtId="1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1" fillId="0" borderId="6" xfId="0" applyFon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ill="1" applyBorder="1" applyAlignment="1">
      <alignment wrapText="1"/>
    </xf>
    <xf numFmtId="2" fontId="0" fillId="0" borderId="5" xfId="0" applyNumberForma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2" xfId="0" applyFont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2" xfId="0" applyNumberFormat="1" applyBorder="1" applyAlignment="1">
      <alignment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1" fillId="0" borderId="23" xfId="0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171" fontId="0" fillId="0" borderId="0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right" vertical="top" wrapText="1"/>
    </xf>
    <xf numFmtId="2" fontId="0" fillId="0" borderId="24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Fill="1" applyBorder="1" applyAlignment="1">
      <alignment/>
    </xf>
    <xf numFmtId="17" fontId="0" fillId="0" borderId="0" xfId="0" applyNumberFormat="1" applyAlignment="1">
      <alignment horizontal="center"/>
    </xf>
    <xf numFmtId="2" fontId="0" fillId="0" borderId="7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2" fontId="1" fillId="0" borderId="4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17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2" fontId="0" fillId="0" borderId="7" xfId="0" applyNumberFormat="1" applyFill="1" applyBorder="1" applyAlignment="1">
      <alignment horizontal="center" vertical="top" wrapText="1"/>
    </xf>
    <xf numFmtId="2" fontId="0" fillId="0" borderId="2" xfId="0" applyNumberForma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0" fillId="0" borderId="9" xfId="0" applyFill="1" applyBorder="1" applyAlignment="1">
      <alignment/>
    </xf>
    <xf numFmtId="2" fontId="0" fillId="0" borderId="2" xfId="0" applyNumberFormat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3" xfId="0" applyFill="1" applyBorder="1" applyAlignment="1">
      <alignment wrapText="1"/>
    </xf>
    <xf numFmtId="2" fontId="0" fillId="0" borderId="24" xfId="0" applyNumberFormat="1" applyFill="1" applyBorder="1" applyAlignment="1">
      <alignment horizontal="center" vertical="top" wrapText="1"/>
    </xf>
    <xf numFmtId="15" fontId="0" fillId="0" borderId="0" xfId="0" applyNumberFormat="1" applyFill="1" applyAlignment="1">
      <alignment horizontal="center"/>
    </xf>
    <xf numFmtId="15" fontId="0" fillId="0" borderId="1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2" fontId="0" fillId="0" borderId="6" xfId="0" applyNumberFormat="1" applyFill="1" applyBorder="1" applyAlignment="1">
      <alignment/>
    </xf>
    <xf numFmtId="0" fontId="0" fillId="0" borderId="0" xfId="0" applyBorder="1" applyAlignment="1">
      <alignment wrapText="1"/>
    </xf>
    <xf numFmtId="2" fontId="0" fillId="0" borderId="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15" fontId="0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/>
    </xf>
    <xf numFmtId="1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2" fontId="0" fillId="0" borderId="2" xfId="0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25" xfId="0" applyNumberFormat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19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75" b="1" i="0" u="none" baseline="0">
                <a:latin typeface="Arial"/>
                <a:ea typeface="Arial"/>
                <a:cs typeface="Arial"/>
              </a:rPr>
              <a:t>Roborough Investment Club</a:t>
            </a:r>
          </a:p>
        </c:rich>
      </c:tx>
      <c:layout>
        <c:manualLayout>
          <c:xMode val="factor"/>
          <c:yMode val="factor"/>
          <c:x val="-0.003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08"/>
          <c:w val="0.82575"/>
          <c:h val="0.88025"/>
        </c:manualLayout>
      </c:layout>
      <c:barChart>
        <c:barDir val="col"/>
        <c:grouping val="stacked"/>
        <c:varyColors val="0"/>
        <c:ser>
          <c:idx val="35"/>
          <c:order val="0"/>
          <c:tx>
            <c:strRef>
              <c:f>'Graph Data'!$A$34</c:f>
              <c:strCache>
                <c:ptCount val="1"/>
                <c:pt idx="0">
                  <c:v>Colt Telecom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Data'!$B$34:$AU$34</c:f>
              <c:numCache>
                <c:ptCount val="46"/>
                <c:pt idx="28">
                  <c:v>554.35</c:v>
                </c:pt>
              </c:numCache>
            </c:numRef>
          </c:val>
        </c:ser>
        <c:ser>
          <c:idx val="7"/>
          <c:order val="1"/>
          <c:tx>
            <c:strRef>
              <c:f>'Graph Data'!$A$41</c:f>
              <c:strCache>
                <c:ptCount val="1"/>
                <c:pt idx="0">
                  <c:v>Man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Data'!$B$41:$AU$41</c:f>
              <c:numCache>
                <c:ptCount val="46"/>
                <c:pt idx="33">
                  <c:v>1007.4</c:v>
                </c:pt>
                <c:pt idx="34">
                  <c:v>806.8</c:v>
                </c:pt>
              </c:numCache>
            </c:numRef>
          </c:val>
        </c:ser>
        <c:ser>
          <c:idx val="11"/>
          <c:order val="2"/>
          <c:tx>
            <c:strRef>
              <c:f>'Graph Data'!$A$5</c:f>
              <c:strCache>
                <c:ptCount val="1"/>
                <c:pt idx="0">
                  <c:v>Pace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Data'!$B$5:$AU$5</c:f>
              <c:numCache>
                <c:ptCount val="46"/>
                <c:pt idx="5">
                  <c:v>731.84</c:v>
                </c:pt>
                <c:pt idx="6">
                  <c:v>690.65</c:v>
                </c:pt>
                <c:pt idx="7">
                  <c:v>539.86</c:v>
                </c:pt>
                <c:pt idx="8">
                  <c:v>778.89</c:v>
                </c:pt>
                <c:pt idx="9">
                  <c:v>653.2</c:v>
                </c:pt>
                <c:pt idx="10">
                  <c:v>522.24</c:v>
                </c:pt>
                <c:pt idx="11">
                  <c:v>632.4</c:v>
                </c:pt>
                <c:pt idx="12">
                  <c:v>682.8</c:v>
                </c:pt>
                <c:pt idx="13">
                  <c:v>610.8</c:v>
                </c:pt>
                <c:pt idx="14">
                  <c:v>528.72</c:v>
                </c:pt>
              </c:numCache>
            </c:numRef>
          </c:val>
        </c:ser>
        <c:ser>
          <c:idx val="16"/>
          <c:order val="3"/>
          <c:tx>
            <c:v>Volex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Data'!$B$17:$AU$17</c:f>
              <c:numCache>
                <c:ptCount val="46"/>
                <c:pt idx="13">
                  <c:v>548</c:v>
                </c:pt>
                <c:pt idx="14">
                  <c:v>548</c:v>
                </c:pt>
                <c:pt idx="15">
                  <c:v>1645.5</c:v>
                </c:pt>
                <c:pt idx="16">
                  <c:v>1794.25</c:v>
                </c:pt>
                <c:pt idx="17">
                  <c:v>1467</c:v>
                </c:pt>
                <c:pt idx="18">
                  <c:v>1624.25</c:v>
                </c:pt>
                <c:pt idx="29">
                  <c:v>1444</c:v>
                </c:pt>
                <c:pt idx="30">
                  <c:v>916.2</c:v>
                </c:pt>
                <c:pt idx="31">
                  <c:v>807</c:v>
                </c:pt>
                <c:pt idx="32">
                  <c:v>552.2</c:v>
                </c:pt>
                <c:pt idx="33">
                  <c:v>734.2</c:v>
                </c:pt>
                <c:pt idx="34">
                  <c:v>825.2</c:v>
                </c:pt>
                <c:pt idx="35">
                  <c:v>716</c:v>
                </c:pt>
                <c:pt idx="36">
                  <c:v>497.6</c:v>
                </c:pt>
                <c:pt idx="37">
                  <c:v>406.6</c:v>
                </c:pt>
                <c:pt idx="38">
                  <c:v>352</c:v>
                </c:pt>
                <c:pt idx="39">
                  <c:v>261</c:v>
                </c:pt>
                <c:pt idx="40">
                  <c:v>170</c:v>
                </c:pt>
                <c:pt idx="41">
                  <c:v>315.6</c:v>
                </c:pt>
                <c:pt idx="42">
                  <c:v>352</c:v>
                </c:pt>
                <c:pt idx="43">
                  <c:v>370.2</c:v>
                </c:pt>
              </c:numCache>
            </c:numRef>
          </c:val>
        </c:ser>
        <c:ser>
          <c:idx val="33"/>
          <c:order val="7"/>
          <c:tx>
            <c:strRef>
              <c:f>'Graph Data'!$A$33</c:f>
              <c:strCache>
                <c:ptCount val="1"/>
                <c:pt idx="0">
                  <c:v>RSA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Data'!$B$33:$AU$33</c:f>
              <c:numCache>
                <c:ptCount val="46"/>
                <c:pt idx="28">
                  <c:v>1035.2</c:v>
                </c:pt>
                <c:pt idx="29">
                  <c:v>1106.6</c:v>
                </c:pt>
                <c:pt idx="30">
                  <c:v>1093.3</c:v>
                </c:pt>
                <c:pt idx="31">
                  <c:v>915.5</c:v>
                </c:pt>
                <c:pt idx="32">
                  <c:v>716</c:v>
                </c:pt>
                <c:pt idx="33">
                  <c:v>811.9</c:v>
                </c:pt>
                <c:pt idx="34">
                  <c:v>833.6</c:v>
                </c:pt>
                <c:pt idx="35">
                  <c:v>807.7</c:v>
                </c:pt>
                <c:pt idx="36">
                  <c:v>674</c:v>
                </c:pt>
                <c:pt idx="37">
                  <c:v>402.4</c:v>
                </c:pt>
                <c:pt idx="38">
                  <c:v>335.2</c:v>
                </c:pt>
                <c:pt idx="39">
                  <c:v>256.8</c:v>
                </c:pt>
                <c:pt idx="40">
                  <c:v>314.9</c:v>
                </c:pt>
                <c:pt idx="41">
                  <c:v>399.6</c:v>
                </c:pt>
                <c:pt idx="42">
                  <c:v>340.8</c:v>
                </c:pt>
                <c:pt idx="43">
                  <c:v>256.8</c:v>
                </c:pt>
              </c:numCache>
            </c:numRef>
          </c:val>
        </c:ser>
        <c:ser>
          <c:idx val="5"/>
          <c:order val="8"/>
          <c:tx>
            <c:strRef>
              <c:f>'Graph Data'!$A$38</c:f>
              <c:strCache>
                <c:ptCount val="1"/>
                <c:pt idx="0">
                  <c:v>Vodafone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Data'!$B$38:$AU$38</c:f>
              <c:numCache>
                <c:ptCount val="46"/>
                <c:pt idx="33">
                  <c:v>919.72</c:v>
                </c:pt>
              </c:numCache>
            </c:numRef>
          </c:val>
        </c:ser>
        <c:ser>
          <c:idx val="37"/>
          <c:order val="9"/>
          <c:tx>
            <c:strRef>
              <c:f>'Graph Data'!$A$37</c:f>
              <c:strCache>
                <c:ptCount val="1"/>
                <c:pt idx="0">
                  <c:v>PHP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Data'!$B$37:$AU$37</c:f>
              <c:numCache>
                <c:ptCount val="46"/>
                <c:pt idx="32">
                  <c:v>957.42</c:v>
                </c:pt>
                <c:pt idx="33">
                  <c:v>1013.52</c:v>
                </c:pt>
                <c:pt idx="34">
                  <c:v>1049.99</c:v>
                </c:pt>
                <c:pt idx="35">
                  <c:v>1075.23</c:v>
                </c:pt>
                <c:pt idx="36">
                  <c:v>985.47</c:v>
                </c:pt>
              </c:numCache>
            </c:numRef>
          </c:val>
        </c:ser>
        <c:ser>
          <c:idx val="36"/>
          <c:order val="10"/>
          <c:tx>
            <c:strRef>
              <c:f>'Graph Data'!$A$36</c:f>
              <c:strCache>
                <c:ptCount val="1"/>
                <c:pt idx="0">
                  <c:v>Chorion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Data'!$B$36:$AU$36</c:f>
              <c:numCache>
                <c:ptCount val="46"/>
                <c:pt idx="31">
                  <c:v>885.98</c:v>
                </c:pt>
                <c:pt idx="32">
                  <c:v>950.14</c:v>
                </c:pt>
                <c:pt idx="33">
                  <c:v>831.78</c:v>
                </c:pt>
                <c:pt idx="34">
                  <c:v>960.9</c:v>
                </c:pt>
                <c:pt idx="35">
                  <c:v>336.82</c:v>
                </c:pt>
                <c:pt idx="36">
                  <c:v>261.5</c:v>
                </c:pt>
                <c:pt idx="37">
                  <c:v>196.94</c:v>
                </c:pt>
                <c:pt idx="38">
                  <c:v>186.18</c:v>
                </c:pt>
                <c:pt idx="39">
                  <c:v>110.86</c:v>
                </c:pt>
                <c:pt idx="40">
                  <c:v>153.9</c:v>
                </c:pt>
                <c:pt idx="41">
                  <c:v>196.94</c:v>
                </c:pt>
                <c:pt idx="42">
                  <c:v>175.42</c:v>
                </c:pt>
                <c:pt idx="43">
                  <c:v>164.66</c:v>
                </c:pt>
                <c:pt idx="44">
                  <c:v>164.66</c:v>
                </c:pt>
                <c:pt idx="45">
                  <c:v>143.14</c:v>
                </c:pt>
              </c:numCache>
            </c:numRef>
          </c:val>
        </c:ser>
        <c:ser>
          <c:idx val="2"/>
          <c:order val="11"/>
          <c:tx>
            <c:v>Urbium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Data'!$B$43:$AU$43</c:f>
              <c:numCache>
                <c:ptCount val="46"/>
                <c:pt idx="35">
                  <c:v>465.94</c:v>
                </c:pt>
                <c:pt idx="36">
                  <c:v>455.18</c:v>
                </c:pt>
                <c:pt idx="37">
                  <c:v>358.34</c:v>
                </c:pt>
                <c:pt idx="38">
                  <c:v>412.14</c:v>
                </c:pt>
                <c:pt idx="39">
                  <c:v>239.98</c:v>
                </c:pt>
                <c:pt idx="40">
                  <c:v>164.66</c:v>
                </c:pt>
                <c:pt idx="41">
                  <c:v>196.94</c:v>
                </c:pt>
                <c:pt idx="42">
                  <c:v>196.94</c:v>
                </c:pt>
                <c:pt idx="43">
                  <c:v>218.46</c:v>
                </c:pt>
                <c:pt idx="44">
                  <c:v>218.46</c:v>
                </c:pt>
                <c:pt idx="45">
                  <c:v>175.42</c:v>
                </c:pt>
              </c:numCache>
            </c:numRef>
          </c:val>
        </c:ser>
        <c:ser>
          <c:idx val="15"/>
          <c:order val="12"/>
          <c:tx>
            <c:strRef>
              <c:f>'Graph Data'!$A$6</c:f>
              <c:strCache>
                <c:ptCount val="1"/>
                <c:pt idx="0">
                  <c:v>Eckoch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Data'!$B$6:$AU$6</c:f>
              <c:numCache>
                <c:ptCount val="46"/>
                <c:pt idx="6">
                  <c:v>501.02</c:v>
                </c:pt>
                <c:pt idx="7">
                  <c:v>478.08</c:v>
                </c:pt>
                <c:pt idx="8">
                  <c:v>496.19</c:v>
                </c:pt>
                <c:pt idx="9">
                  <c:v>503.43</c:v>
                </c:pt>
                <c:pt idx="10">
                  <c:v>302.6</c:v>
                </c:pt>
                <c:pt idx="11">
                  <c:v>203.38</c:v>
                </c:pt>
                <c:pt idx="12">
                  <c:v>157.4</c:v>
                </c:pt>
                <c:pt idx="13">
                  <c:v>142.88</c:v>
                </c:pt>
                <c:pt idx="14">
                  <c:v>184.02</c:v>
                </c:pt>
                <c:pt idx="15">
                  <c:v>130.78</c:v>
                </c:pt>
                <c:pt idx="16">
                  <c:v>121.1</c:v>
                </c:pt>
                <c:pt idx="17">
                  <c:v>94.48</c:v>
                </c:pt>
                <c:pt idx="18">
                  <c:v>55.76</c:v>
                </c:pt>
                <c:pt idx="19">
                  <c:v>77.54</c:v>
                </c:pt>
                <c:pt idx="20">
                  <c:v>63.02</c:v>
                </c:pt>
                <c:pt idx="21">
                  <c:v>40.03</c:v>
                </c:pt>
                <c:pt idx="22">
                  <c:v>27.93</c:v>
                </c:pt>
                <c:pt idx="23">
                  <c:v>27.93</c:v>
                </c:pt>
                <c:pt idx="24">
                  <c:v>15.83</c:v>
                </c:pt>
                <c:pt idx="25">
                  <c:v>20.67</c:v>
                </c:pt>
                <c:pt idx="26">
                  <c:v>20.67</c:v>
                </c:pt>
                <c:pt idx="27">
                  <c:v>9.78</c:v>
                </c:pt>
                <c:pt idx="28">
                  <c:v>7.36</c:v>
                </c:pt>
                <c:pt idx="29">
                  <c:v>7.36</c:v>
                </c:pt>
                <c:pt idx="30">
                  <c:v>1.31</c:v>
                </c:pt>
                <c:pt idx="31">
                  <c:v>-1.11</c:v>
                </c:pt>
                <c:pt idx="32">
                  <c:v>1.31</c:v>
                </c:pt>
                <c:pt idx="33">
                  <c:v>2.52</c:v>
                </c:pt>
                <c:pt idx="34">
                  <c:v>2.5199999999999996</c:v>
                </c:pt>
                <c:pt idx="35">
                  <c:v>8.57</c:v>
                </c:pt>
                <c:pt idx="36">
                  <c:v>-1.1099999999999994</c:v>
                </c:pt>
                <c:pt idx="37">
                  <c:v>1.3100000000000005</c:v>
                </c:pt>
                <c:pt idx="38">
                  <c:v>3.7300000000000004</c:v>
                </c:pt>
                <c:pt idx="39">
                  <c:v>1.3100000000000005</c:v>
                </c:pt>
                <c:pt idx="40">
                  <c:v>4.940000000000001</c:v>
                </c:pt>
                <c:pt idx="41">
                  <c:v>16.44</c:v>
                </c:pt>
                <c:pt idx="42">
                  <c:v>248</c:v>
                </c:pt>
                <c:pt idx="43">
                  <c:v>208</c:v>
                </c:pt>
                <c:pt idx="44">
                  <c:v>228</c:v>
                </c:pt>
                <c:pt idx="45">
                  <c:v>212.5</c:v>
                </c:pt>
              </c:numCache>
            </c:numRef>
          </c:val>
        </c:ser>
        <c:ser>
          <c:idx val="8"/>
          <c:order val="13"/>
          <c:tx>
            <c:strRef>
              <c:f>'Graph Data'!$A$40</c:f>
              <c:strCache>
                <c:ptCount val="1"/>
                <c:pt idx="0">
                  <c:v>Marconi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Data'!$B$40:$AU$40</c:f>
              <c:numCache>
                <c:ptCount val="46"/>
                <c:pt idx="33">
                  <c:v>131.5</c:v>
                </c:pt>
                <c:pt idx="34">
                  <c:v>188.5</c:v>
                </c:pt>
                <c:pt idx="36">
                  <c:v>193.56</c:v>
                </c:pt>
                <c:pt idx="37">
                  <c:v>165.56</c:v>
                </c:pt>
                <c:pt idx="38">
                  <c:v>77.5</c:v>
                </c:pt>
                <c:pt idx="39">
                  <c:v>64.78</c:v>
                </c:pt>
                <c:pt idx="40">
                  <c:v>120.77000000000001</c:v>
                </c:pt>
                <c:pt idx="41">
                  <c:v>98.37</c:v>
                </c:pt>
                <c:pt idx="42">
                  <c:v>84.12</c:v>
                </c:pt>
                <c:pt idx="43">
                  <c:v>74.96</c:v>
                </c:pt>
                <c:pt idx="44">
                  <c:v>100.92</c:v>
                </c:pt>
              </c:numCache>
            </c:numRef>
          </c:val>
        </c:ser>
        <c:ser>
          <c:idx val="1"/>
          <c:order val="14"/>
          <c:tx>
            <c:strRef>
              <c:f>'Graph Data'!$A$3</c:f>
              <c:strCache>
                <c:ptCount val="1"/>
                <c:pt idx="0">
                  <c:v>Chloride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Data'!$B$3:$AU$3</c:f>
              <c:numCache>
                <c:ptCount val="46"/>
                <c:pt idx="3">
                  <c:v>475.02</c:v>
                </c:pt>
                <c:pt idx="4">
                  <c:v>495.78</c:v>
                </c:pt>
                <c:pt idx="5">
                  <c:v>595.1</c:v>
                </c:pt>
                <c:pt idx="6">
                  <c:v>610.58</c:v>
                </c:pt>
                <c:pt idx="7">
                  <c:v>679.23</c:v>
                </c:pt>
                <c:pt idx="8">
                  <c:v>952.3</c:v>
                </c:pt>
                <c:pt idx="9">
                  <c:v>765.06</c:v>
                </c:pt>
                <c:pt idx="10">
                  <c:v>780.54</c:v>
                </c:pt>
                <c:pt idx="11">
                  <c:v>981.82</c:v>
                </c:pt>
                <c:pt idx="12">
                  <c:v>1107.62</c:v>
                </c:pt>
                <c:pt idx="13">
                  <c:v>1157.94</c:v>
                </c:pt>
                <c:pt idx="14">
                  <c:v>1246</c:v>
                </c:pt>
                <c:pt idx="15">
                  <c:v>1164.23</c:v>
                </c:pt>
                <c:pt idx="16">
                  <c:v>1277.45</c:v>
                </c:pt>
                <c:pt idx="33">
                  <c:v>831.06</c:v>
                </c:pt>
                <c:pt idx="34">
                  <c:v>874.74</c:v>
                </c:pt>
                <c:pt idx="35">
                  <c:v>761.18</c:v>
                </c:pt>
                <c:pt idx="36">
                  <c:v>569.01</c:v>
                </c:pt>
                <c:pt idx="37">
                  <c:v>516.6</c:v>
                </c:pt>
                <c:pt idx="38">
                  <c:v>516.6</c:v>
                </c:pt>
                <c:pt idx="39">
                  <c:v>411.78</c:v>
                </c:pt>
                <c:pt idx="40">
                  <c:v>551.54</c:v>
                </c:pt>
                <c:pt idx="41">
                  <c:v>656.36</c:v>
                </c:pt>
                <c:pt idx="42">
                  <c:v>551.54</c:v>
                </c:pt>
                <c:pt idx="43">
                  <c:v>481.66</c:v>
                </c:pt>
                <c:pt idx="44">
                  <c:v>516.6</c:v>
                </c:pt>
              </c:numCache>
            </c:numRef>
          </c:val>
        </c:ser>
        <c:ser>
          <c:idx val="3"/>
          <c:order val="15"/>
          <c:tx>
            <c:strRef>
              <c:f>'Graph Data'!$A$42</c:f>
              <c:strCache>
                <c:ptCount val="1"/>
                <c:pt idx="0">
                  <c:v>Rexam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Data'!$B$42:$AU$42</c:f>
              <c:numCache>
                <c:ptCount val="46"/>
                <c:pt idx="34">
                  <c:v>1001.49</c:v>
                </c:pt>
                <c:pt idx="35">
                  <c:v>934.83</c:v>
                </c:pt>
                <c:pt idx="36">
                  <c:v>830.8</c:v>
                </c:pt>
                <c:pt idx="37">
                  <c:v>780.3</c:v>
                </c:pt>
                <c:pt idx="38">
                  <c:v>891.4</c:v>
                </c:pt>
                <c:pt idx="39">
                  <c:v>794.44</c:v>
                </c:pt>
                <c:pt idx="40">
                  <c:v>807.07</c:v>
                </c:pt>
                <c:pt idx="41">
                  <c:v>770.2</c:v>
                </c:pt>
                <c:pt idx="42">
                  <c:v>825.75</c:v>
                </c:pt>
                <c:pt idx="43">
                  <c:v>709.6</c:v>
                </c:pt>
                <c:pt idx="44">
                  <c:v>640.92</c:v>
                </c:pt>
                <c:pt idx="45">
                  <c:v>944.5</c:v>
                </c:pt>
              </c:numCache>
            </c:numRef>
          </c:val>
        </c:ser>
        <c:ser>
          <c:idx val="6"/>
          <c:order val="16"/>
          <c:tx>
            <c:strRef>
              <c:f>'Graph Data'!$A$39</c:f>
              <c:strCache>
                <c:ptCount val="1"/>
                <c:pt idx="0">
                  <c:v>Securicor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Data'!$B$39:$AU$39</c:f>
              <c:numCache>
                <c:ptCount val="46"/>
                <c:pt idx="33">
                  <c:v>909.83</c:v>
                </c:pt>
                <c:pt idx="34">
                  <c:v>932.48</c:v>
                </c:pt>
                <c:pt idx="35">
                  <c:v>974</c:v>
                </c:pt>
                <c:pt idx="36">
                  <c:v>889.06</c:v>
                </c:pt>
                <c:pt idx="37">
                  <c:v>656.9</c:v>
                </c:pt>
                <c:pt idx="38">
                  <c:v>736.18</c:v>
                </c:pt>
                <c:pt idx="39">
                  <c:v>755.05</c:v>
                </c:pt>
                <c:pt idx="40">
                  <c:v>783.36</c:v>
                </c:pt>
                <c:pt idx="41">
                  <c:v>587.06</c:v>
                </c:pt>
                <c:pt idx="42">
                  <c:v>626.7</c:v>
                </c:pt>
                <c:pt idx="43">
                  <c:v>594.61</c:v>
                </c:pt>
                <c:pt idx="44">
                  <c:v>583.29</c:v>
                </c:pt>
                <c:pt idx="45">
                  <c:v>634.25</c:v>
                </c:pt>
              </c:numCache>
            </c:numRef>
          </c:val>
        </c:ser>
        <c:ser>
          <c:idx val="17"/>
          <c:order val="17"/>
          <c:tx>
            <c:strRef>
              <c:f>'Graph Data'!$A$35</c:f>
              <c:strCache>
                <c:ptCount val="1"/>
                <c:pt idx="0">
                  <c:v>Spirent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Data'!$B$35:$AU$35</c:f>
              <c:numCache>
                <c:ptCount val="46"/>
                <c:pt idx="29">
                  <c:v>1019.69</c:v>
                </c:pt>
                <c:pt idx="43">
                  <c:v>905.19</c:v>
                </c:pt>
                <c:pt idx="44">
                  <c:v>497.16</c:v>
                </c:pt>
                <c:pt idx="45">
                  <c:v>636.75</c:v>
                </c:pt>
              </c:numCache>
            </c:numRef>
          </c:val>
        </c:ser>
        <c:ser>
          <c:idx val="18"/>
          <c:order val="18"/>
          <c:tx>
            <c:strRef>
              <c:f>'Graph Data'!$A$45</c:f>
              <c:strCache>
                <c:ptCount val="1"/>
                <c:pt idx="0">
                  <c:v>Interserve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99CC"/>
              </a:solidFill>
            </c:spPr>
          </c:dP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Data'!$B$45:$AU$45</c:f>
              <c:numCache>
                <c:ptCount val="46"/>
                <c:pt idx="44">
                  <c:v>502.95</c:v>
                </c:pt>
                <c:pt idx="45">
                  <c:v>0</c:v>
                </c:pt>
              </c:numCache>
            </c:numRef>
          </c:val>
        </c:ser>
        <c:ser>
          <c:idx val="12"/>
          <c:order val="19"/>
          <c:tx>
            <c:strRef>
              <c:f>'Graph Data'!$A$46</c:f>
              <c:strCache>
                <c:ptCount val="1"/>
                <c:pt idx="0">
                  <c:v>Rotork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Data'!$B$46:$AU$46</c:f>
              <c:numCache>
                <c:ptCount val="46"/>
                <c:pt idx="45">
                  <c:v>489.36</c:v>
                </c:pt>
              </c:numCache>
            </c:numRef>
          </c:val>
        </c:ser>
        <c:ser>
          <c:idx val="9"/>
          <c:order val="20"/>
          <c:tx>
            <c:strRef>
              <c:f>'Graph Data'!$A$44</c:f>
              <c:strCache>
                <c:ptCount val="1"/>
                <c:pt idx="0">
                  <c:v>DS Smith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Data'!$B$44:$AU$44</c:f>
              <c:numCache>
                <c:ptCount val="46"/>
                <c:pt idx="39">
                  <c:v>870</c:v>
                </c:pt>
                <c:pt idx="40">
                  <c:v>1013</c:v>
                </c:pt>
                <c:pt idx="41">
                  <c:v>948</c:v>
                </c:pt>
                <c:pt idx="42">
                  <c:v>948</c:v>
                </c:pt>
                <c:pt idx="43">
                  <c:v>805</c:v>
                </c:pt>
                <c:pt idx="44">
                  <c:v>948</c:v>
                </c:pt>
                <c:pt idx="45">
                  <c:v>941.5</c:v>
                </c:pt>
              </c:numCache>
            </c:numRef>
          </c:val>
        </c:ser>
        <c:ser>
          <c:idx val="0"/>
          <c:order val="21"/>
          <c:tx>
            <c:v>Tesco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Data'!$B$12:$AU$12</c:f>
              <c:numCache>
                <c:ptCount val="46"/>
                <c:pt idx="10">
                  <c:v>463.7</c:v>
                </c:pt>
                <c:pt idx="11">
                  <c:v>430.55</c:v>
                </c:pt>
                <c:pt idx="12">
                  <c:v>449.89</c:v>
                </c:pt>
                <c:pt idx="13">
                  <c:v>473.65</c:v>
                </c:pt>
                <c:pt idx="14">
                  <c:v>464.26</c:v>
                </c:pt>
                <c:pt idx="15">
                  <c:v>529.45</c:v>
                </c:pt>
                <c:pt idx="16">
                  <c:v>568.68</c:v>
                </c:pt>
                <c:pt idx="17">
                  <c:v>580.28</c:v>
                </c:pt>
                <c:pt idx="18">
                  <c:v>1615.56</c:v>
                </c:pt>
                <c:pt idx="19">
                  <c:v>1419.54</c:v>
                </c:pt>
                <c:pt idx="20">
                  <c:v>1529.43</c:v>
                </c:pt>
                <c:pt idx="21">
                  <c:v>1467.06</c:v>
                </c:pt>
                <c:pt idx="22">
                  <c:v>1467.06</c:v>
                </c:pt>
                <c:pt idx="23">
                  <c:v>1456.67</c:v>
                </c:pt>
                <c:pt idx="24">
                  <c:v>1511.61</c:v>
                </c:pt>
                <c:pt idx="25">
                  <c:v>1471.52</c:v>
                </c:pt>
                <c:pt idx="26">
                  <c:v>1532.4</c:v>
                </c:pt>
                <c:pt idx="27">
                  <c:v>1380.93</c:v>
                </c:pt>
                <c:pt idx="28">
                  <c:v>1419.54</c:v>
                </c:pt>
                <c:pt idx="29">
                  <c:v>1419.54</c:v>
                </c:pt>
                <c:pt idx="30">
                  <c:v>1467.06</c:v>
                </c:pt>
                <c:pt idx="31">
                  <c:v>1377.96</c:v>
                </c:pt>
                <c:pt idx="32">
                  <c:v>1478.94</c:v>
                </c:pt>
                <c:pt idx="33">
                  <c:v>1413.6</c:v>
                </c:pt>
                <c:pt idx="34">
                  <c:v>-6.74</c:v>
                </c:pt>
                <c:pt idx="35">
                  <c:v>-6.86</c:v>
                </c:pt>
                <c:pt idx="36">
                  <c:v>-7.13</c:v>
                </c:pt>
                <c:pt idx="37">
                  <c:v>-7.83</c:v>
                </c:pt>
                <c:pt idx="38">
                  <c:v>-7.77</c:v>
                </c:pt>
                <c:pt idx="39">
                  <c:v>-7.89</c:v>
                </c:pt>
                <c:pt idx="40">
                  <c:v>-8.04</c:v>
                </c:pt>
                <c:pt idx="41">
                  <c:v>-7.96</c:v>
                </c:pt>
                <c:pt idx="42">
                  <c:v>-8.17</c:v>
                </c:pt>
                <c:pt idx="43">
                  <c:v>-8.71</c:v>
                </c:pt>
                <c:pt idx="44">
                  <c:v>-8.78</c:v>
                </c:pt>
                <c:pt idx="45">
                  <c:v>934.98</c:v>
                </c:pt>
              </c:numCache>
            </c:numRef>
          </c:val>
        </c:ser>
        <c:ser>
          <c:idx val="29"/>
          <c:order val="22"/>
          <c:tx>
            <c:v>Kelda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Data'!$B$29:$AU$29</c:f>
              <c:numCache>
                <c:ptCount val="46"/>
                <c:pt idx="26">
                  <c:v>994.61</c:v>
                </c:pt>
                <c:pt idx="27">
                  <c:v>893.25</c:v>
                </c:pt>
                <c:pt idx="28">
                  <c:v>895.8</c:v>
                </c:pt>
                <c:pt idx="29">
                  <c:v>861.38</c:v>
                </c:pt>
                <c:pt idx="30">
                  <c:v>893.25</c:v>
                </c:pt>
                <c:pt idx="31">
                  <c:v>863.29</c:v>
                </c:pt>
                <c:pt idx="32">
                  <c:v>893.89</c:v>
                </c:pt>
                <c:pt idx="33">
                  <c:v>972.3</c:v>
                </c:pt>
                <c:pt idx="34">
                  <c:v>1010.55</c:v>
                </c:pt>
                <c:pt idx="35">
                  <c:v>1039.24</c:v>
                </c:pt>
                <c:pt idx="36">
                  <c:v>1087.05</c:v>
                </c:pt>
                <c:pt idx="37">
                  <c:v>867.75</c:v>
                </c:pt>
                <c:pt idx="38">
                  <c:v>969.75</c:v>
                </c:pt>
                <c:pt idx="39">
                  <c:v>933.41</c:v>
                </c:pt>
                <c:pt idx="40">
                  <c:v>1881.83</c:v>
                </c:pt>
                <c:pt idx="41">
                  <c:v>1847.74</c:v>
                </c:pt>
                <c:pt idx="42">
                  <c:v>2092.66</c:v>
                </c:pt>
                <c:pt idx="43">
                  <c:v>2015.65</c:v>
                </c:pt>
                <c:pt idx="44">
                  <c:v>2047.21</c:v>
                </c:pt>
                <c:pt idx="45">
                  <c:v>2028.91</c:v>
                </c:pt>
              </c:numCache>
            </c:numRef>
          </c:val>
        </c:ser>
        <c:ser>
          <c:idx val="10"/>
          <c:order val="23"/>
          <c:tx>
            <c:strRef>
              <c:f>'Graph Data'!$A$2</c:f>
              <c:strCache>
                <c:ptCount val="1"/>
                <c:pt idx="0">
                  <c:v>Cash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Data'!$B$1:$AU$1</c:f>
              <c:strCache>
                <c:ptCount val="4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</c:strCache>
            </c:strRef>
          </c:cat>
          <c:val>
            <c:numRef>
              <c:f>'Graph Data'!$B$2:$AU$2</c:f>
              <c:numCache>
                <c:ptCount val="46"/>
                <c:pt idx="0">
                  <c:v>800</c:v>
                </c:pt>
                <c:pt idx="1">
                  <c:v>800.01</c:v>
                </c:pt>
                <c:pt idx="2">
                  <c:v>1100.06</c:v>
                </c:pt>
                <c:pt idx="3">
                  <c:v>898.35</c:v>
                </c:pt>
                <c:pt idx="4">
                  <c:v>680.7</c:v>
                </c:pt>
                <c:pt idx="5">
                  <c:v>462.78</c:v>
                </c:pt>
                <c:pt idx="6">
                  <c:v>252.93</c:v>
                </c:pt>
                <c:pt idx="7">
                  <c:v>1593.83</c:v>
                </c:pt>
                <c:pt idx="8">
                  <c:v>1281.26</c:v>
                </c:pt>
                <c:pt idx="9">
                  <c:v>1644.98</c:v>
                </c:pt>
                <c:pt idx="10">
                  <c:v>1197.95</c:v>
                </c:pt>
                <c:pt idx="11">
                  <c:v>103.44</c:v>
                </c:pt>
                <c:pt idx="12">
                  <c:v>765.24</c:v>
                </c:pt>
                <c:pt idx="13">
                  <c:v>272.04</c:v>
                </c:pt>
                <c:pt idx="14">
                  <c:v>3092.16</c:v>
                </c:pt>
                <c:pt idx="15">
                  <c:v>1606.71</c:v>
                </c:pt>
                <c:pt idx="16">
                  <c:v>1060.33</c:v>
                </c:pt>
                <c:pt idx="17">
                  <c:v>2040.28</c:v>
                </c:pt>
                <c:pt idx="18">
                  <c:v>604.44</c:v>
                </c:pt>
                <c:pt idx="19">
                  <c:v>3147.48</c:v>
                </c:pt>
                <c:pt idx="20">
                  <c:v>1122.46</c:v>
                </c:pt>
                <c:pt idx="21">
                  <c:v>4377.65</c:v>
                </c:pt>
                <c:pt idx="22">
                  <c:v>1697.41</c:v>
                </c:pt>
                <c:pt idx="23">
                  <c:v>2217.42</c:v>
                </c:pt>
                <c:pt idx="24">
                  <c:v>4651.11</c:v>
                </c:pt>
                <c:pt idx="25">
                  <c:v>5567.17</c:v>
                </c:pt>
                <c:pt idx="26">
                  <c:v>2488.07</c:v>
                </c:pt>
                <c:pt idx="27">
                  <c:v>3785.91</c:v>
                </c:pt>
                <c:pt idx="28">
                  <c:v>2857.17</c:v>
                </c:pt>
                <c:pt idx="29">
                  <c:v>2434.59</c:v>
                </c:pt>
                <c:pt idx="30">
                  <c:v>3983.82</c:v>
                </c:pt>
                <c:pt idx="31">
                  <c:v>5217.13</c:v>
                </c:pt>
                <c:pt idx="32">
                  <c:v>4413.48</c:v>
                </c:pt>
                <c:pt idx="33">
                  <c:v>743.7099999999994</c:v>
                </c:pt>
                <c:pt idx="34">
                  <c:v>2380.34</c:v>
                </c:pt>
                <c:pt idx="35">
                  <c:v>3903.2799999999993</c:v>
                </c:pt>
                <c:pt idx="36">
                  <c:v>4092.4799999999996</c:v>
                </c:pt>
                <c:pt idx="37">
                  <c:v>5430.73</c:v>
                </c:pt>
                <c:pt idx="38">
                  <c:v>5864.71</c:v>
                </c:pt>
                <c:pt idx="39">
                  <c:v>4829.16</c:v>
                </c:pt>
                <c:pt idx="40">
                  <c:v>3664.859999999999</c:v>
                </c:pt>
                <c:pt idx="41">
                  <c:v>4050.2899999999995</c:v>
                </c:pt>
                <c:pt idx="42">
                  <c:v>4157.2300000000005</c:v>
                </c:pt>
                <c:pt idx="43">
                  <c:v>3521.81</c:v>
                </c:pt>
                <c:pt idx="44">
                  <c:v>4044.7299999999996</c:v>
                </c:pt>
                <c:pt idx="45">
                  <c:v>3567.98</c:v>
                </c:pt>
              </c:numCache>
            </c:numRef>
          </c:val>
        </c:ser>
        <c:overlap val="100"/>
        <c:axId val="51576539"/>
        <c:axId val="26909220"/>
      </c:barChart>
      <c:lineChart>
        <c:grouping val="standard"/>
        <c:varyColors val="0"/>
        <c:ser>
          <c:idx val="14"/>
          <c:order val="4"/>
          <c:tx>
            <c:strRef>
              <c:f>'Graph Data'!$A$54</c:f>
              <c:strCache>
                <c:ptCount val="1"/>
                <c:pt idx="0">
                  <c:v>FT All Share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Data'!$B$54:$AU$54</c:f>
              <c:numCache>
                <c:ptCount val="46"/>
                <c:pt idx="0">
                  <c:v>100</c:v>
                </c:pt>
                <c:pt idx="1">
                  <c:v>99</c:v>
                </c:pt>
                <c:pt idx="2">
                  <c:v>100</c:v>
                </c:pt>
                <c:pt idx="3">
                  <c:v>96</c:v>
                </c:pt>
                <c:pt idx="4">
                  <c:v>99</c:v>
                </c:pt>
                <c:pt idx="5">
                  <c:v>105</c:v>
                </c:pt>
                <c:pt idx="6">
                  <c:v>110</c:v>
                </c:pt>
                <c:pt idx="7">
                  <c:v>101</c:v>
                </c:pt>
                <c:pt idx="8">
                  <c:v>101</c:v>
                </c:pt>
                <c:pt idx="9">
                  <c:v>106</c:v>
                </c:pt>
                <c:pt idx="10">
                  <c:v>102</c:v>
                </c:pt>
                <c:pt idx="11">
                  <c:v>102</c:v>
                </c:pt>
                <c:pt idx="12">
                  <c:v>104</c:v>
                </c:pt>
                <c:pt idx="13">
                  <c:v>104</c:v>
                </c:pt>
                <c:pt idx="14">
                  <c:v>111</c:v>
                </c:pt>
                <c:pt idx="15">
                  <c:v>103</c:v>
                </c:pt>
                <c:pt idx="16">
                  <c:v>104</c:v>
                </c:pt>
                <c:pt idx="17">
                  <c:v>98</c:v>
                </c:pt>
                <c:pt idx="18">
                  <c:v>99</c:v>
                </c:pt>
                <c:pt idx="19">
                  <c:v>103</c:v>
                </c:pt>
                <c:pt idx="20">
                  <c:v>96</c:v>
                </c:pt>
                <c:pt idx="21">
                  <c:v>92</c:v>
                </c:pt>
                <c:pt idx="22">
                  <c:v>96</c:v>
                </c:pt>
                <c:pt idx="23">
                  <c:v>96</c:v>
                </c:pt>
                <c:pt idx="24">
                  <c:v>93</c:v>
                </c:pt>
                <c:pt idx="25">
                  <c:v>90</c:v>
                </c:pt>
                <c:pt idx="26">
                  <c:v>88</c:v>
                </c:pt>
                <c:pt idx="27">
                  <c:v>79</c:v>
                </c:pt>
                <c:pt idx="28">
                  <c:v>82</c:v>
                </c:pt>
                <c:pt idx="29">
                  <c:v>85</c:v>
                </c:pt>
                <c:pt idx="30">
                  <c:v>86</c:v>
                </c:pt>
                <c:pt idx="31">
                  <c:v>85</c:v>
                </c:pt>
                <c:pt idx="32">
                  <c:v>85</c:v>
                </c:pt>
                <c:pt idx="33">
                  <c:v>87</c:v>
                </c:pt>
                <c:pt idx="34">
                  <c:v>85</c:v>
                </c:pt>
                <c:pt idx="35">
                  <c:v>84</c:v>
                </c:pt>
                <c:pt idx="36">
                  <c:v>77</c:v>
                </c:pt>
                <c:pt idx="37">
                  <c:v>68</c:v>
                </c:pt>
                <c:pt idx="38">
                  <c:v>69</c:v>
                </c:pt>
                <c:pt idx="39">
                  <c:v>61</c:v>
                </c:pt>
                <c:pt idx="40">
                  <c:v>66</c:v>
                </c:pt>
                <c:pt idx="41">
                  <c:v>68</c:v>
                </c:pt>
                <c:pt idx="42">
                  <c:v>65</c:v>
                </c:pt>
                <c:pt idx="43">
                  <c:v>60</c:v>
                </c:pt>
                <c:pt idx="44">
                  <c:v>60</c:v>
                </c:pt>
                <c:pt idx="45">
                  <c:v>59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'Graph Data'!$A$51</c:f>
              <c:strCache>
                <c:ptCount val="1"/>
                <c:pt idx="0">
                  <c:v>Unit Value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'Graph Data'!$B$1:$M$1</c:f>
              <c:strCache>
                <c:ptCount val="12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</c:strCache>
            </c:strRef>
          </c:cat>
          <c:val>
            <c:numRef>
              <c:f>'Graph Data'!$B$51:$AU$51</c:f>
              <c:numCache>
                <c:ptCount val="4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</c:v>
                </c:pt>
                <c:pt idx="4">
                  <c:v>99</c:v>
                </c:pt>
                <c:pt idx="5">
                  <c:v>142</c:v>
                </c:pt>
                <c:pt idx="6">
                  <c:v>132</c:v>
                </c:pt>
                <c:pt idx="7">
                  <c:v>165</c:v>
                </c:pt>
                <c:pt idx="8">
                  <c:v>206</c:v>
                </c:pt>
                <c:pt idx="9">
                  <c:v>184</c:v>
                </c:pt>
                <c:pt idx="10">
                  <c:v>165</c:v>
                </c:pt>
                <c:pt idx="11">
                  <c:v>167</c:v>
                </c:pt>
                <c:pt idx="12">
                  <c:v>174</c:v>
                </c:pt>
                <c:pt idx="13">
                  <c:v>170</c:v>
                </c:pt>
                <c:pt idx="14">
                  <c:v>166</c:v>
                </c:pt>
                <c:pt idx="15">
                  <c:v>166</c:v>
                </c:pt>
                <c:pt idx="16">
                  <c:v>163</c:v>
                </c:pt>
                <c:pt idx="17">
                  <c:v>146</c:v>
                </c:pt>
                <c:pt idx="18">
                  <c:v>152</c:v>
                </c:pt>
                <c:pt idx="19">
                  <c:v>156</c:v>
                </c:pt>
                <c:pt idx="20">
                  <c:v>146</c:v>
                </c:pt>
                <c:pt idx="21">
                  <c:v>137</c:v>
                </c:pt>
                <c:pt idx="22">
                  <c:v>137</c:v>
                </c:pt>
                <c:pt idx="23">
                  <c:v>138</c:v>
                </c:pt>
                <c:pt idx="24">
                  <c:v>138</c:v>
                </c:pt>
                <c:pt idx="25">
                  <c:v>138</c:v>
                </c:pt>
                <c:pt idx="26">
                  <c:v>136</c:v>
                </c:pt>
                <c:pt idx="27">
                  <c:v>123</c:v>
                </c:pt>
                <c:pt idx="28">
                  <c:v>124</c:v>
                </c:pt>
                <c:pt idx="29">
                  <c:v>130</c:v>
                </c:pt>
                <c:pt idx="30">
                  <c:v>128</c:v>
                </c:pt>
                <c:pt idx="31">
                  <c:v>122</c:v>
                </c:pt>
                <c:pt idx="32">
                  <c:v>116</c:v>
                </c:pt>
                <c:pt idx="33">
                  <c:v>115</c:v>
                </c:pt>
                <c:pt idx="34">
                  <c:v>115.99999999999999</c:v>
                </c:pt>
                <c:pt idx="35">
                  <c:v>112.99999999999999</c:v>
                </c:pt>
                <c:pt idx="36">
                  <c:v>104</c:v>
                </c:pt>
                <c:pt idx="37">
                  <c:v>93</c:v>
                </c:pt>
                <c:pt idx="38">
                  <c:v>94</c:v>
                </c:pt>
                <c:pt idx="39">
                  <c:v>87</c:v>
                </c:pt>
                <c:pt idx="40">
                  <c:v>90</c:v>
                </c:pt>
                <c:pt idx="41">
                  <c:v>91</c:v>
                </c:pt>
                <c:pt idx="42">
                  <c:v>93</c:v>
                </c:pt>
                <c:pt idx="43">
                  <c:v>87</c:v>
                </c:pt>
                <c:pt idx="44">
                  <c:v>86</c:v>
                </c:pt>
                <c:pt idx="45">
                  <c:v>85</c:v>
                </c:pt>
              </c:numCache>
            </c:numRef>
          </c:val>
          <c:smooth val="0"/>
        </c:ser>
        <c:ser>
          <c:idx val="20"/>
          <c:order val="6"/>
          <c:tx>
            <c:v>FT TM 100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'Graph Data'!$B$57:$AU$57</c:f>
              <c:numCache>
                <c:ptCount val="46"/>
                <c:pt idx="0">
                  <c:v>100</c:v>
                </c:pt>
                <c:pt idx="1">
                  <c:v>106</c:v>
                </c:pt>
                <c:pt idx="2">
                  <c:v>111</c:v>
                </c:pt>
                <c:pt idx="3">
                  <c:v>112</c:v>
                </c:pt>
                <c:pt idx="4">
                  <c:v>113</c:v>
                </c:pt>
                <c:pt idx="5">
                  <c:v>129</c:v>
                </c:pt>
                <c:pt idx="6">
                  <c:v>181</c:v>
                </c:pt>
                <c:pt idx="7">
                  <c:v>222</c:v>
                </c:pt>
                <c:pt idx="8">
                  <c:v>231</c:v>
                </c:pt>
                <c:pt idx="9">
                  <c:v>314</c:v>
                </c:pt>
                <c:pt idx="10">
                  <c:v>240</c:v>
                </c:pt>
                <c:pt idx="11">
                  <c:v>216</c:v>
                </c:pt>
                <c:pt idx="12">
                  <c:v>198</c:v>
                </c:pt>
                <c:pt idx="13">
                  <c:v>210</c:v>
                </c:pt>
                <c:pt idx="14">
                  <c:v>250</c:v>
                </c:pt>
                <c:pt idx="15">
                  <c:v>222</c:v>
                </c:pt>
                <c:pt idx="16">
                  <c:v>202</c:v>
                </c:pt>
                <c:pt idx="17">
                  <c:v>153</c:v>
                </c:pt>
                <c:pt idx="18">
                  <c:v>138</c:v>
                </c:pt>
                <c:pt idx="19">
                  <c:v>165</c:v>
                </c:pt>
                <c:pt idx="20">
                  <c:v>132</c:v>
                </c:pt>
                <c:pt idx="21">
                  <c:v>113</c:v>
                </c:pt>
                <c:pt idx="22">
                  <c:v>121</c:v>
                </c:pt>
                <c:pt idx="23">
                  <c:v>119</c:v>
                </c:pt>
                <c:pt idx="24">
                  <c:v>105</c:v>
                </c:pt>
                <c:pt idx="25">
                  <c:v>93</c:v>
                </c:pt>
                <c:pt idx="26">
                  <c:v>85</c:v>
                </c:pt>
                <c:pt idx="27">
                  <c:v>68</c:v>
                </c:pt>
                <c:pt idx="28">
                  <c:v>80</c:v>
                </c:pt>
                <c:pt idx="29">
                  <c:v>88</c:v>
                </c:pt>
                <c:pt idx="30">
                  <c:v>86</c:v>
                </c:pt>
                <c:pt idx="31">
                  <c:v>79</c:v>
                </c:pt>
                <c:pt idx="32">
                  <c:v>73</c:v>
                </c:pt>
                <c:pt idx="33">
                  <c:v>71</c:v>
                </c:pt>
                <c:pt idx="34">
                  <c:v>65</c:v>
                </c:pt>
                <c:pt idx="35">
                  <c:v>59</c:v>
                </c:pt>
                <c:pt idx="36">
                  <c:v>51</c:v>
                </c:pt>
                <c:pt idx="37">
                  <c:v>44</c:v>
                </c:pt>
                <c:pt idx="38">
                  <c:v>46</c:v>
                </c:pt>
                <c:pt idx="39">
                  <c:v>37</c:v>
                </c:pt>
                <c:pt idx="40">
                  <c:v>41</c:v>
                </c:pt>
                <c:pt idx="41">
                  <c:v>43</c:v>
                </c:pt>
                <c:pt idx="42">
                  <c:v>39</c:v>
                </c:pt>
                <c:pt idx="43">
                  <c:v>37</c:v>
                </c:pt>
                <c:pt idx="44">
                  <c:v>35</c:v>
                </c:pt>
                <c:pt idx="45">
                  <c:v>35</c:v>
                </c:pt>
              </c:numCache>
            </c:numRef>
          </c:val>
          <c:smooth val="0"/>
        </c:ser>
        <c:axId val="46110341"/>
        <c:axId val="10179646"/>
      </c:lineChart>
      <c:dateAx>
        <c:axId val="51576539"/>
        <c:scaling>
          <c:orientation val="minMax"/>
          <c:max val="1238"/>
          <c:min val="1226"/>
        </c:scaling>
        <c:axPos val="b"/>
        <c:delete val="0"/>
        <c:numFmt formatCode="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6909220"/>
        <c:crosses val="autoZero"/>
        <c:auto val="0"/>
        <c:noMultiLvlLbl val="0"/>
      </c:dateAx>
      <c:valAx>
        <c:axId val="26909220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75" b="1" i="0" u="none" baseline="0">
                    <a:latin typeface="Arial"/>
                    <a:ea typeface="Arial"/>
                    <a:cs typeface="Arial"/>
                  </a:rPr>
                  <a:t>Value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76539"/>
        <c:crossesAt val="1193"/>
        <c:crossBetween val="between"/>
        <c:dispUnits/>
        <c:majorUnit val="1000"/>
      </c:valAx>
      <c:dateAx>
        <c:axId val="46110341"/>
        <c:scaling>
          <c:orientation val="minMax"/>
        </c:scaling>
        <c:axPos val="b"/>
        <c:delete val="1"/>
        <c:majorTickMark val="out"/>
        <c:minorTickMark val="none"/>
        <c:tickLblPos val="nextTo"/>
        <c:crossAx val="10179646"/>
        <c:crossesAt val="0"/>
        <c:auto val="0"/>
        <c:noMultiLvlLbl val="0"/>
      </c:dateAx>
      <c:valAx>
        <c:axId val="1017964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75" b="1" i="0" u="none" baseline="0">
                    <a:latin typeface="Arial"/>
                    <a:ea typeface="Arial"/>
                    <a:cs typeface="Arial"/>
                  </a:rPr>
                  <a:t>Unit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10341"/>
        <c:crosses val="max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475"/>
          <c:y val="0.05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7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.96" right="0.75" top="1.81" bottom="0.54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067675"/>
    <xdr:graphicFrame>
      <xdr:nvGraphicFramePr>
        <xdr:cNvPr id="1" name="Shape 1025"/>
        <xdr:cNvGraphicFramePr/>
      </xdr:nvGraphicFramePr>
      <xdr:xfrm>
        <a:off x="0" y="0"/>
        <a:ext cx="1215390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8"/>
  <sheetViews>
    <sheetView zoomScale="90" zoomScaleNormal="90" workbookViewId="0" topLeftCell="A1">
      <selection activeCell="A1" sqref="A1"/>
    </sheetView>
  </sheetViews>
  <sheetFormatPr defaultColWidth="9.140625" defaultRowHeight="12.75" outlineLevelRow="1"/>
  <cols>
    <col min="1" max="1" width="10.7109375" style="0" customWidth="1"/>
    <col min="2" max="2" width="17.00390625" style="0" customWidth="1"/>
    <col min="3" max="3" width="9.28125" style="2" customWidth="1"/>
    <col min="4" max="4" width="9.57421875" style="2" customWidth="1"/>
    <col min="5" max="5" width="7.7109375" style="2" customWidth="1"/>
    <col min="6" max="6" width="9.7109375" style="2" customWidth="1"/>
    <col min="7" max="7" width="8.28125" style="2" bestFit="1" customWidth="1"/>
    <col min="8" max="8" width="0.85546875" style="2" customWidth="1"/>
    <col min="9" max="9" width="11.140625" style="0" bestFit="1" customWidth="1"/>
    <col min="10" max="10" width="14.7109375" style="0" customWidth="1"/>
    <col min="11" max="11" width="9.57421875" style="0" customWidth="1"/>
    <col min="12" max="12" width="11.7109375" style="0" customWidth="1"/>
    <col min="13" max="13" width="12.421875" style="0" customWidth="1"/>
    <col min="14" max="14" width="8.8515625" style="0" bestFit="1" customWidth="1"/>
  </cols>
  <sheetData>
    <row r="1" spans="1:14" ht="12.75">
      <c r="A1" s="4" t="s">
        <v>78</v>
      </c>
      <c r="B1" s="4" t="s">
        <v>80</v>
      </c>
      <c r="I1" s="4" t="str">
        <f>A1</f>
        <v>Apr</v>
      </c>
      <c r="J1" s="4" t="s">
        <v>81</v>
      </c>
      <c r="K1" s="7"/>
      <c r="L1" s="7"/>
      <c r="M1" s="7"/>
      <c r="N1" s="8"/>
    </row>
    <row r="2" spans="1:14" ht="25.5" hidden="1" outlineLevel="1">
      <c r="A2" s="1" t="s">
        <v>0</v>
      </c>
      <c r="B2" s="1" t="s">
        <v>1</v>
      </c>
      <c r="C2" s="3" t="s">
        <v>2</v>
      </c>
      <c r="D2" s="3" t="s">
        <v>17</v>
      </c>
      <c r="E2" s="3" t="s">
        <v>59</v>
      </c>
      <c r="F2" s="3" t="s">
        <v>3</v>
      </c>
      <c r="G2" s="3" t="s">
        <v>4</v>
      </c>
      <c r="I2" s="1" t="s">
        <v>0</v>
      </c>
      <c r="J2" s="1" t="s">
        <v>1</v>
      </c>
      <c r="K2" s="3" t="s">
        <v>12</v>
      </c>
      <c r="L2" s="3" t="s">
        <v>13</v>
      </c>
      <c r="M2" s="3" t="s">
        <v>14</v>
      </c>
      <c r="N2" s="3" t="s">
        <v>4</v>
      </c>
    </row>
    <row r="3" spans="2:14" ht="13.5" hidden="1" outlineLevel="1" thickBot="1">
      <c r="B3" t="s">
        <v>15</v>
      </c>
      <c r="C3" s="129">
        <v>743.71</v>
      </c>
      <c r="D3" s="129"/>
      <c r="E3" s="129"/>
      <c r="F3" s="129"/>
      <c r="G3" s="129">
        <f aca="true" t="shared" si="0" ref="G3:G8">SUM(C3:F3)</f>
        <v>743.71</v>
      </c>
      <c r="I3" s="139">
        <v>37375</v>
      </c>
      <c r="J3" s="5" t="s">
        <v>193</v>
      </c>
      <c r="K3" s="131"/>
      <c r="L3" s="131"/>
      <c r="M3" s="131">
        <v>995.61</v>
      </c>
      <c r="N3" s="131">
        <f>SUM(K3:M3)</f>
        <v>995.61</v>
      </c>
    </row>
    <row r="4" spans="1:14" ht="13.5" hidden="1" outlineLevel="1" thickTop="1">
      <c r="A4" s="46">
        <v>37348</v>
      </c>
      <c r="B4" t="s">
        <v>61</v>
      </c>
      <c r="C4" s="129">
        <v>1447.46</v>
      </c>
      <c r="D4" s="129"/>
      <c r="E4" s="129"/>
      <c r="F4" s="129"/>
      <c r="G4" s="129">
        <f>SUM(C4:F4)</f>
        <v>1447.46</v>
      </c>
      <c r="K4" s="129">
        <f>SUM(K3:K3)</f>
        <v>0</v>
      </c>
      <c r="L4" s="129">
        <f>SUM(L3:L3)</f>
        <v>0</v>
      </c>
      <c r="M4" s="129">
        <f>SUM(M3:M3)</f>
        <v>995.61</v>
      </c>
      <c r="N4" s="129">
        <f>SUM(N3:N3)</f>
        <v>995.61</v>
      </c>
    </row>
    <row r="5" spans="2:14" ht="13.5" hidden="1" outlineLevel="1" thickBot="1">
      <c r="B5" t="s">
        <v>105</v>
      </c>
      <c r="D5" s="129">
        <v>30</v>
      </c>
      <c r="E5" s="129"/>
      <c r="F5" s="129"/>
      <c r="G5" s="129">
        <f>SUM(C5:F5)</f>
        <v>30</v>
      </c>
      <c r="J5" t="s">
        <v>101</v>
      </c>
      <c r="K5" s="129">
        <f>G22</f>
        <v>3375.9500000000003</v>
      </c>
      <c r="L5" s="129"/>
      <c r="M5" s="129"/>
      <c r="N5" s="131">
        <f>SUM(K5:M5)</f>
        <v>3375.9500000000003</v>
      </c>
    </row>
    <row r="6" spans="2:14" ht="13.5" hidden="1" outlineLevel="1" thickTop="1">
      <c r="B6" t="s">
        <v>5</v>
      </c>
      <c r="C6" s="129"/>
      <c r="D6" s="129">
        <v>30</v>
      </c>
      <c r="E6" s="129"/>
      <c r="F6" s="129"/>
      <c r="G6" s="129">
        <f t="shared" si="0"/>
        <v>30</v>
      </c>
      <c r="K6" s="129"/>
      <c r="L6" s="129"/>
      <c r="M6" s="129"/>
      <c r="N6" s="129">
        <f>N5-N4</f>
        <v>2380.34</v>
      </c>
    </row>
    <row r="7" spans="2:7" ht="12.75" hidden="1" outlineLevel="1">
      <c r="B7" t="s">
        <v>10</v>
      </c>
      <c r="C7" s="129"/>
      <c r="D7" s="129">
        <v>30</v>
      </c>
      <c r="E7" s="129"/>
      <c r="F7" s="129"/>
      <c r="G7" s="129">
        <f t="shared" si="0"/>
        <v>30</v>
      </c>
    </row>
    <row r="8" spans="2:7" ht="12.75" hidden="1" outlineLevel="1">
      <c r="B8" s="85" t="s">
        <v>7</v>
      </c>
      <c r="C8" s="129"/>
      <c r="D8" s="129">
        <v>30</v>
      </c>
      <c r="E8" s="129"/>
      <c r="F8" s="129"/>
      <c r="G8" s="129">
        <f t="shared" si="0"/>
        <v>30</v>
      </c>
    </row>
    <row r="9" spans="1:7" ht="12.75" hidden="1" outlineLevel="1">
      <c r="A9" s="46">
        <v>37349</v>
      </c>
      <c r="B9" t="s">
        <v>6</v>
      </c>
      <c r="D9" s="129">
        <v>30</v>
      </c>
      <c r="E9" s="129"/>
      <c r="F9" s="129"/>
      <c r="G9" s="129">
        <f>SUM(C9:F9)</f>
        <v>30</v>
      </c>
    </row>
    <row r="10" spans="2:14" ht="12.75" hidden="1" outlineLevel="1">
      <c r="B10" t="s">
        <v>53</v>
      </c>
      <c r="C10" s="129"/>
      <c r="D10" s="129">
        <v>30</v>
      </c>
      <c r="E10" s="129"/>
      <c r="F10" s="129"/>
      <c r="G10" s="129">
        <f aca="true" t="shared" si="1" ref="G10:G21">SUM(C10:F10)</f>
        <v>30</v>
      </c>
      <c r="J10" s="10" t="s">
        <v>18</v>
      </c>
      <c r="K10" s="11"/>
      <c r="L10" s="11"/>
      <c r="M10" s="11"/>
      <c r="N10" s="34">
        <f>'Lloyd TSB'!E21</f>
        <v>0</v>
      </c>
    </row>
    <row r="11" spans="2:14" ht="12.75" hidden="1" outlineLevel="1">
      <c r="B11" t="s">
        <v>9</v>
      </c>
      <c r="C11" s="129"/>
      <c r="D11" s="129">
        <v>30</v>
      </c>
      <c r="E11" s="129"/>
      <c r="F11" s="129"/>
      <c r="G11" s="129">
        <f t="shared" si="1"/>
        <v>30</v>
      </c>
      <c r="J11" s="13" t="s">
        <v>169</v>
      </c>
      <c r="K11" s="7"/>
      <c r="L11" s="7"/>
      <c r="M11" s="7"/>
      <c r="N11" s="218">
        <f>'Charles Schwab'!H8</f>
        <v>48.25999999999999</v>
      </c>
    </row>
    <row r="12" spans="2:14" ht="12.75" hidden="1" outlineLevel="1">
      <c r="B12" t="s">
        <v>11</v>
      </c>
      <c r="C12" s="129"/>
      <c r="D12" s="129">
        <v>30</v>
      </c>
      <c r="E12" s="129"/>
      <c r="F12" s="129"/>
      <c r="G12" s="129">
        <f t="shared" si="1"/>
        <v>30</v>
      </c>
      <c r="J12" s="13" t="s">
        <v>170</v>
      </c>
      <c r="K12" s="7"/>
      <c r="L12" s="7"/>
      <c r="M12" s="7"/>
      <c r="N12" s="65">
        <f>Comdirect!H9</f>
        <v>2332.08</v>
      </c>
    </row>
    <row r="13" spans="2:14" ht="12.75" hidden="1" outlineLevel="1">
      <c r="B13" t="s">
        <v>82</v>
      </c>
      <c r="C13" s="129"/>
      <c r="D13" s="129">
        <v>30</v>
      </c>
      <c r="E13" s="129"/>
      <c r="F13" s="129"/>
      <c r="G13" s="129">
        <f t="shared" si="1"/>
        <v>30</v>
      </c>
      <c r="J13" s="15"/>
      <c r="K13" s="9"/>
      <c r="L13" s="9"/>
      <c r="M13" s="9"/>
      <c r="N13" s="65">
        <f>SUM(N10:N12)</f>
        <v>2380.34</v>
      </c>
    </row>
    <row r="14" spans="2:7" ht="12.75" hidden="1" outlineLevel="1">
      <c r="B14" t="s">
        <v>49</v>
      </c>
      <c r="C14" s="129"/>
      <c r="D14" s="129">
        <v>30</v>
      </c>
      <c r="E14" s="129"/>
      <c r="F14" s="129"/>
      <c r="G14" s="129">
        <f t="shared" si="1"/>
        <v>30</v>
      </c>
    </row>
    <row r="15" spans="2:7" ht="12.75" hidden="1" outlineLevel="1">
      <c r="B15" t="s">
        <v>52</v>
      </c>
      <c r="D15" s="129">
        <v>30</v>
      </c>
      <c r="E15" s="122"/>
      <c r="F15" s="129"/>
      <c r="G15" s="129">
        <f>SUM(C15:F15)</f>
        <v>30</v>
      </c>
    </row>
    <row r="16" spans="1:7" ht="12.75" hidden="1" outlineLevel="1">
      <c r="A16" s="46">
        <v>37351</v>
      </c>
      <c r="B16" t="s">
        <v>54</v>
      </c>
      <c r="C16" s="129"/>
      <c r="D16" s="129">
        <v>30</v>
      </c>
      <c r="E16" s="129"/>
      <c r="F16" s="129"/>
      <c r="G16" s="129">
        <f t="shared" si="1"/>
        <v>30</v>
      </c>
    </row>
    <row r="17" spans="1:7" ht="12.75" hidden="1" outlineLevel="1">
      <c r="A17" s="46"/>
      <c r="B17" t="s">
        <v>56</v>
      </c>
      <c r="C17" s="129"/>
      <c r="D17" s="129">
        <v>30</v>
      </c>
      <c r="E17" s="129"/>
      <c r="F17" s="129"/>
      <c r="G17" s="129">
        <f t="shared" si="1"/>
        <v>30</v>
      </c>
    </row>
    <row r="18" spans="2:7" ht="12.75" hidden="1" outlineLevel="1">
      <c r="B18" t="s">
        <v>8</v>
      </c>
      <c r="D18" s="129">
        <v>30</v>
      </c>
      <c r="E18" s="122"/>
      <c r="F18" s="129"/>
      <c r="G18" s="129">
        <f>SUM(B18:F18)</f>
        <v>30</v>
      </c>
    </row>
    <row r="19" spans="1:7" ht="12.75" hidden="1" outlineLevel="1">
      <c r="A19" s="46">
        <v>37353</v>
      </c>
      <c r="B19" t="s">
        <v>114</v>
      </c>
      <c r="D19" s="129"/>
      <c r="E19" s="122">
        <v>0.05</v>
      </c>
      <c r="F19" s="129"/>
      <c r="G19" s="129">
        <f>SUM(B19:F19)</f>
        <v>0.05</v>
      </c>
    </row>
    <row r="20" spans="1:7" ht="12.75" hidden="1" outlineLevel="1">
      <c r="A20" s="46">
        <v>37356</v>
      </c>
      <c r="B20" t="s">
        <v>16</v>
      </c>
      <c r="C20" s="129"/>
      <c r="D20" s="129"/>
      <c r="E20" s="129">
        <v>0.02</v>
      </c>
      <c r="F20" s="129"/>
      <c r="G20" s="129">
        <f>SUM(C20:F20)</f>
        <v>0.02</v>
      </c>
    </row>
    <row r="21" spans="1:7" ht="13.5" hidden="1" outlineLevel="1" thickBot="1">
      <c r="A21" s="46">
        <v>37375</v>
      </c>
      <c r="B21" s="7" t="s">
        <v>51</v>
      </c>
      <c r="C21" s="131">
        <v>764.71</v>
      </c>
      <c r="D21" s="131"/>
      <c r="E21" s="131"/>
      <c r="F21" s="131"/>
      <c r="G21" s="131">
        <f t="shared" si="1"/>
        <v>764.71</v>
      </c>
    </row>
    <row r="22" spans="3:7" ht="13.5" hidden="1" outlineLevel="1" thickTop="1">
      <c r="C22" s="129">
        <f>SUM(C3:C21)</f>
        <v>2955.88</v>
      </c>
      <c r="D22" s="129">
        <f>SUM(D3:D21)</f>
        <v>420</v>
      </c>
      <c r="E22" s="129">
        <f>SUM(E3:E21)</f>
        <v>0.07</v>
      </c>
      <c r="F22" s="129">
        <f>SUM(F3:F21)</f>
        <v>0</v>
      </c>
      <c r="G22" s="129">
        <f>SUM(G3:G21)</f>
        <v>3375.9500000000003</v>
      </c>
    </row>
    <row r="23" ht="12.75" collapsed="1"/>
    <row r="24" spans="1:14" ht="12.75">
      <c r="A24" s="4" t="s">
        <v>79</v>
      </c>
      <c r="B24" s="4" t="s">
        <v>80</v>
      </c>
      <c r="I24" s="4" t="str">
        <f>A24</f>
        <v>May</v>
      </c>
      <c r="J24" s="4" t="s">
        <v>81</v>
      </c>
      <c r="K24" s="7"/>
      <c r="L24" s="7"/>
      <c r="M24" s="7"/>
      <c r="N24" s="8"/>
    </row>
    <row r="25" spans="1:14" ht="25.5" hidden="1" outlineLevel="1">
      <c r="A25" s="1" t="s">
        <v>0</v>
      </c>
      <c r="B25" s="1" t="s">
        <v>1</v>
      </c>
      <c r="C25" s="3" t="s">
        <v>2</v>
      </c>
      <c r="D25" s="3" t="s">
        <v>17</v>
      </c>
      <c r="E25" s="3" t="s">
        <v>59</v>
      </c>
      <c r="F25" s="3" t="s">
        <v>3</v>
      </c>
      <c r="G25" s="3" t="s">
        <v>4</v>
      </c>
      <c r="I25" s="1" t="s">
        <v>0</v>
      </c>
      <c r="J25" s="1" t="s">
        <v>1</v>
      </c>
      <c r="K25" s="3" t="s">
        <v>12</v>
      </c>
      <c r="L25" s="3" t="s">
        <v>13</v>
      </c>
      <c r="M25" s="3" t="s">
        <v>14</v>
      </c>
      <c r="N25" s="3" t="s">
        <v>4</v>
      </c>
    </row>
    <row r="26" spans="2:14" ht="13.5" hidden="1" outlineLevel="1" thickBot="1">
      <c r="B26" t="s">
        <v>15</v>
      </c>
      <c r="C26" s="129">
        <f>N6</f>
        <v>2380.34</v>
      </c>
      <c r="D26" s="129"/>
      <c r="E26" s="129"/>
      <c r="F26" s="129"/>
      <c r="G26" s="129">
        <f>SUM(C26:F26)</f>
        <v>2380.34</v>
      </c>
      <c r="I26" s="46"/>
      <c r="J26" s="7" t="s">
        <v>110</v>
      </c>
      <c r="K26" s="6"/>
      <c r="L26" s="6"/>
      <c r="M26" s="6"/>
      <c r="N26" s="6"/>
    </row>
    <row r="27" spans="1:14" ht="13.5" hidden="1" outlineLevel="1" thickTop="1">
      <c r="A27" s="46">
        <v>37377</v>
      </c>
      <c r="B27" t="s">
        <v>105</v>
      </c>
      <c r="C27" s="129"/>
      <c r="D27" s="129">
        <v>30</v>
      </c>
      <c r="E27" s="129"/>
      <c r="F27" s="129"/>
      <c r="G27" s="129">
        <f>SUM(C27:F27)</f>
        <v>30</v>
      </c>
      <c r="J27" s="86"/>
      <c r="K27" s="129">
        <f>SUM(K26:K26)</f>
        <v>0</v>
      </c>
      <c r="L27" s="129">
        <f>SUM(L26:L26)</f>
        <v>0</v>
      </c>
      <c r="M27" s="129">
        <f>SUM(M26:M26)</f>
        <v>0</v>
      </c>
      <c r="N27" s="129">
        <f>SUM(N26:N26)</f>
        <v>0</v>
      </c>
    </row>
    <row r="28" spans="2:14" ht="13.5" hidden="1" outlineLevel="1" thickBot="1">
      <c r="B28" t="s">
        <v>5</v>
      </c>
      <c r="D28" s="129">
        <v>30</v>
      </c>
      <c r="E28" s="129"/>
      <c r="F28" s="129"/>
      <c r="G28" s="129">
        <f>SUM(C28:F28)</f>
        <v>30</v>
      </c>
      <c r="J28" t="s">
        <v>101</v>
      </c>
      <c r="K28" s="129">
        <f>G47</f>
        <v>3903.28</v>
      </c>
      <c r="L28" s="129"/>
      <c r="M28" s="129"/>
      <c r="N28" s="131">
        <f>SUM(K28:M28)</f>
        <v>3903.28</v>
      </c>
    </row>
    <row r="29" spans="2:14" ht="13.5" hidden="1" outlineLevel="1" thickTop="1">
      <c r="B29" t="s">
        <v>10</v>
      </c>
      <c r="C29" s="129"/>
      <c r="D29" s="129">
        <v>30</v>
      </c>
      <c r="E29" s="129"/>
      <c r="F29" s="129"/>
      <c r="G29" s="129">
        <f aca="true" t="shared" si="2" ref="G29:G46">SUM(C29:F29)</f>
        <v>30</v>
      </c>
      <c r="K29" s="129"/>
      <c r="L29" s="129"/>
      <c r="M29" s="129"/>
      <c r="N29" s="129">
        <f>N28-N27</f>
        <v>3903.28</v>
      </c>
    </row>
    <row r="30" spans="2:14" ht="12.75" hidden="1" outlineLevel="1">
      <c r="B30" t="s">
        <v>7</v>
      </c>
      <c r="C30" s="129"/>
      <c r="D30" s="129">
        <v>30</v>
      </c>
      <c r="E30" s="129"/>
      <c r="F30" s="129"/>
      <c r="G30" s="129">
        <f t="shared" si="2"/>
        <v>30</v>
      </c>
      <c r="K30" s="122"/>
      <c r="L30" s="122"/>
      <c r="M30" s="122"/>
      <c r="N30" s="122"/>
    </row>
    <row r="31" spans="1:14" ht="12.75" hidden="1" outlineLevel="1">
      <c r="A31" s="46">
        <v>37378</v>
      </c>
      <c r="B31" t="s">
        <v>200</v>
      </c>
      <c r="C31" s="129"/>
      <c r="D31" s="129"/>
      <c r="E31" s="129"/>
      <c r="F31" s="129">
        <v>25.24</v>
      </c>
      <c r="G31" s="129">
        <f t="shared" si="2"/>
        <v>25.24</v>
      </c>
      <c r="J31" s="10" t="s">
        <v>18</v>
      </c>
      <c r="K31" s="11"/>
      <c r="L31" s="11"/>
      <c r="M31" s="11"/>
      <c r="N31" s="34">
        <f>'Lloyd TSB'!E41</f>
        <v>0.029999999999972715</v>
      </c>
    </row>
    <row r="32" spans="2:14" ht="12.75" hidden="1" outlineLevel="1">
      <c r="B32" t="s">
        <v>152</v>
      </c>
      <c r="C32" s="129">
        <v>253.5</v>
      </c>
      <c r="D32" s="129"/>
      <c r="E32" s="129"/>
      <c r="F32" s="129"/>
      <c r="G32" s="129">
        <f t="shared" si="2"/>
        <v>253.5</v>
      </c>
      <c r="J32" s="13" t="s">
        <v>169</v>
      </c>
      <c r="K32" s="7"/>
      <c r="L32" s="7"/>
      <c r="M32" s="7"/>
      <c r="N32" s="218">
        <f>'Charles Schwab'!H14</f>
        <v>68.41999999999999</v>
      </c>
    </row>
    <row r="33" spans="1:14" ht="12.75" hidden="1" outlineLevel="1">
      <c r="A33" s="46">
        <v>37379</v>
      </c>
      <c r="B33" t="s">
        <v>6</v>
      </c>
      <c r="C33" s="129"/>
      <c r="D33" s="129">
        <v>30</v>
      </c>
      <c r="E33" s="129"/>
      <c r="F33" s="129"/>
      <c r="G33" s="129">
        <f t="shared" si="2"/>
        <v>30</v>
      </c>
      <c r="J33" s="13" t="s">
        <v>170</v>
      </c>
      <c r="K33" s="7"/>
      <c r="L33" s="7"/>
      <c r="M33" s="7"/>
      <c r="N33" s="65">
        <f>Comdirect!H19</f>
        <v>3834.8299999999995</v>
      </c>
    </row>
    <row r="34" spans="2:14" ht="12.75" hidden="1" outlineLevel="1">
      <c r="B34" t="s">
        <v>53</v>
      </c>
      <c r="C34" s="129"/>
      <c r="D34" s="129">
        <v>30</v>
      </c>
      <c r="E34" s="129"/>
      <c r="F34" s="129"/>
      <c r="G34" s="129">
        <f t="shared" si="2"/>
        <v>30</v>
      </c>
      <c r="J34" s="15"/>
      <c r="K34" s="9"/>
      <c r="L34" s="9"/>
      <c r="M34" s="9"/>
      <c r="N34" s="65">
        <f>SUM(N31:N33)</f>
        <v>3903.2799999999993</v>
      </c>
    </row>
    <row r="35" spans="2:14" ht="12.75" hidden="1" outlineLevel="1">
      <c r="B35" t="s">
        <v>9</v>
      </c>
      <c r="C35" s="129"/>
      <c r="D35" s="129">
        <v>30</v>
      </c>
      <c r="E35" s="129"/>
      <c r="F35" s="129"/>
      <c r="G35" s="129">
        <f t="shared" si="2"/>
        <v>30</v>
      </c>
      <c r="J35" s="7"/>
      <c r="K35" s="124"/>
      <c r="L35" s="124"/>
      <c r="M35" s="124"/>
      <c r="N35" s="101"/>
    </row>
    <row r="36" spans="2:14" ht="12.75" hidden="1" outlineLevel="1">
      <c r="B36" t="s">
        <v>11</v>
      </c>
      <c r="C36" s="129"/>
      <c r="D36" s="129">
        <v>30</v>
      </c>
      <c r="E36" s="129"/>
      <c r="F36" s="129"/>
      <c r="G36" s="129">
        <f t="shared" si="2"/>
        <v>30</v>
      </c>
      <c r="J36" s="7"/>
      <c r="K36" s="7"/>
      <c r="L36" s="7"/>
      <c r="M36" s="7"/>
      <c r="N36" s="8"/>
    </row>
    <row r="37" spans="1:7" ht="12.75" hidden="1" outlineLevel="1">
      <c r="A37" s="46"/>
      <c r="B37" t="s">
        <v>82</v>
      </c>
      <c r="C37" s="129"/>
      <c r="D37" s="129">
        <v>30</v>
      </c>
      <c r="E37" s="129"/>
      <c r="F37" s="129"/>
      <c r="G37" s="129">
        <f>SUM(C37:F37)</f>
        <v>30</v>
      </c>
    </row>
    <row r="38" spans="2:14" ht="12.75" hidden="1" outlineLevel="1">
      <c r="B38" t="s">
        <v>56</v>
      </c>
      <c r="C38" s="129"/>
      <c r="D38" s="129">
        <v>30</v>
      </c>
      <c r="E38" s="129"/>
      <c r="F38" s="129"/>
      <c r="G38" s="129">
        <f>SUM(C38:F38)</f>
        <v>30</v>
      </c>
      <c r="K38" s="122"/>
      <c r="L38" s="122"/>
      <c r="M38" s="122"/>
      <c r="N38" s="122"/>
    </row>
    <row r="39" spans="1:7" ht="12.75" hidden="1" outlineLevel="1">
      <c r="A39" s="46"/>
      <c r="B39" t="s">
        <v>49</v>
      </c>
      <c r="D39" s="129">
        <v>30</v>
      </c>
      <c r="E39" s="129"/>
      <c r="F39" s="129"/>
      <c r="G39" s="129">
        <f>SUM(C39:F39)</f>
        <v>30</v>
      </c>
    </row>
    <row r="40" spans="1:7" ht="12.75" hidden="1" outlineLevel="1">
      <c r="A40" s="46"/>
      <c r="B40" t="s">
        <v>52</v>
      </c>
      <c r="D40" s="129">
        <v>30</v>
      </c>
      <c r="E40" s="129"/>
      <c r="F40" s="129"/>
      <c r="G40" s="129">
        <f>SUM(C40:F40)</f>
        <v>30</v>
      </c>
    </row>
    <row r="41" spans="1:7" ht="12.75" hidden="1" outlineLevel="1">
      <c r="A41" s="46">
        <v>37383</v>
      </c>
      <c r="B41" t="s">
        <v>8</v>
      </c>
      <c r="D41" s="129">
        <v>30</v>
      </c>
      <c r="E41" s="124"/>
      <c r="F41" s="129"/>
      <c r="G41" s="129">
        <f>SUM(C41:F41)</f>
        <v>30</v>
      </c>
    </row>
    <row r="42" spans="1:7" ht="12.75" hidden="1" outlineLevel="1">
      <c r="A42" s="46">
        <v>37384</v>
      </c>
      <c r="B42" t="s">
        <v>54</v>
      </c>
      <c r="C42" s="129"/>
      <c r="D42" s="129">
        <v>30</v>
      </c>
      <c r="E42" s="129"/>
      <c r="F42" s="129"/>
      <c r="G42" s="129">
        <f t="shared" si="2"/>
        <v>30</v>
      </c>
    </row>
    <row r="43" spans="1:7" ht="12.75" hidden="1" outlineLevel="1">
      <c r="A43" s="46">
        <v>37386</v>
      </c>
      <c r="B43" t="s">
        <v>16</v>
      </c>
      <c r="C43" s="129"/>
      <c r="D43" s="129"/>
      <c r="E43" s="122">
        <v>0.03</v>
      </c>
      <c r="F43" s="129"/>
      <c r="G43" s="129">
        <f t="shared" si="2"/>
        <v>0.03</v>
      </c>
    </row>
    <row r="44" spans="1:7" ht="12.75" hidden="1" outlineLevel="1">
      <c r="A44" s="46">
        <v>37389</v>
      </c>
      <c r="B44" t="s">
        <v>185</v>
      </c>
      <c r="C44" s="101">
        <v>788.95</v>
      </c>
      <c r="D44" s="101"/>
      <c r="E44" s="101"/>
      <c r="F44" s="101"/>
      <c r="G44" s="101">
        <f t="shared" si="2"/>
        <v>788.95</v>
      </c>
    </row>
    <row r="45" spans="1:7" ht="12.75" hidden="1" outlineLevel="1">
      <c r="A45" s="46">
        <v>37391</v>
      </c>
      <c r="B45" t="s">
        <v>207</v>
      </c>
      <c r="C45" s="101"/>
      <c r="D45" s="101"/>
      <c r="E45" s="101"/>
      <c r="F45" s="101">
        <v>15.06</v>
      </c>
      <c r="G45" s="101">
        <f t="shared" si="2"/>
        <v>15.06</v>
      </c>
    </row>
    <row r="46" spans="1:7" ht="13.5" hidden="1" outlineLevel="1" thickBot="1">
      <c r="A46" s="46">
        <v>37407</v>
      </c>
      <c r="B46" t="s">
        <v>208</v>
      </c>
      <c r="C46" s="131"/>
      <c r="D46" s="131"/>
      <c r="E46" s="131"/>
      <c r="F46" s="131">
        <v>20.16</v>
      </c>
      <c r="G46" s="131">
        <f t="shared" si="2"/>
        <v>20.16</v>
      </c>
    </row>
    <row r="47" spans="3:7" ht="13.5" hidden="1" outlineLevel="1" thickTop="1">
      <c r="C47" s="129">
        <f>SUM(C26:C46)</f>
        <v>3422.79</v>
      </c>
      <c r="D47" s="129">
        <f>SUM(D26:D46)</f>
        <v>420</v>
      </c>
      <c r="E47" s="129">
        <f>SUM(E26:E46)</f>
        <v>0.03</v>
      </c>
      <c r="F47" s="129">
        <f>SUM(F26:F46)</f>
        <v>60.459999999999994</v>
      </c>
      <c r="G47" s="129">
        <f>SUM(G26:G46)</f>
        <v>3903.28</v>
      </c>
    </row>
    <row r="48" ht="12.75" collapsed="1"/>
    <row r="49" spans="1:14" ht="12.75">
      <c r="A49" s="4" t="s">
        <v>112</v>
      </c>
      <c r="B49" s="4" t="s">
        <v>80</v>
      </c>
      <c r="I49" s="4" t="str">
        <f>A49</f>
        <v>June</v>
      </c>
      <c r="J49" s="4" t="s">
        <v>81</v>
      </c>
      <c r="K49" s="7"/>
      <c r="L49" s="7"/>
      <c r="M49" s="7"/>
      <c r="N49" s="8"/>
    </row>
    <row r="50" spans="1:14" ht="25.5" hidden="1" outlineLevel="1">
      <c r="A50" s="1" t="s">
        <v>0</v>
      </c>
      <c r="B50" s="1" t="s">
        <v>1</v>
      </c>
      <c r="C50" s="3" t="s">
        <v>2</v>
      </c>
      <c r="D50" s="3" t="s">
        <v>17</v>
      </c>
      <c r="E50" s="3" t="s">
        <v>59</v>
      </c>
      <c r="F50" s="3" t="s">
        <v>3</v>
      </c>
      <c r="G50" s="3" t="s">
        <v>4</v>
      </c>
      <c r="I50" s="1" t="s">
        <v>0</v>
      </c>
      <c r="J50" s="1" t="s">
        <v>1</v>
      </c>
      <c r="K50" s="3" t="s">
        <v>12</v>
      </c>
      <c r="L50" s="3" t="s">
        <v>13</v>
      </c>
      <c r="M50" s="3" t="s">
        <v>14</v>
      </c>
      <c r="N50" s="3" t="s">
        <v>4</v>
      </c>
    </row>
    <row r="51" spans="2:14" ht="13.5" hidden="1" outlineLevel="1" thickBot="1">
      <c r="B51" t="s">
        <v>15</v>
      </c>
      <c r="C51" s="129">
        <f>N29</f>
        <v>3903.28</v>
      </c>
      <c r="D51" s="129"/>
      <c r="E51" s="129"/>
      <c r="F51" s="129"/>
      <c r="G51" s="129">
        <f>SUM(C51:F51)</f>
        <v>3903.28</v>
      </c>
      <c r="I51" s="139">
        <v>37427</v>
      </c>
      <c r="J51" s="7" t="s">
        <v>152</v>
      </c>
      <c r="K51" s="6"/>
      <c r="L51" s="6"/>
      <c r="M51" s="131">
        <v>249.98</v>
      </c>
      <c r="N51" s="131">
        <f>SUM(M51)</f>
        <v>249.98</v>
      </c>
    </row>
    <row r="52" spans="1:14" ht="13.5" hidden="1" outlineLevel="1" thickTop="1">
      <c r="A52" s="46">
        <v>37407</v>
      </c>
      <c r="B52" t="s">
        <v>7</v>
      </c>
      <c r="C52" s="129"/>
      <c r="D52" s="129">
        <v>30</v>
      </c>
      <c r="E52" s="129"/>
      <c r="F52" s="129"/>
      <c r="G52" s="129">
        <f>SUM(C52:F52)</f>
        <v>30</v>
      </c>
      <c r="J52" s="86"/>
      <c r="K52" s="129">
        <f>SUM(K51:K51)</f>
        <v>0</v>
      </c>
      <c r="L52" s="129">
        <f>SUM(L51:L51)</f>
        <v>0</v>
      </c>
      <c r="M52" s="129">
        <f>SUM(M51:M51)</f>
        <v>249.98</v>
      </c>
      <c r="N52" s="129">
        <f>SUM(N51:N51)</f>
        <v>249.98</v>
      </c>
    </row>
    <row r="53" spans="1:14" ht="13.5" hidden="1" outlineLevel="1" thickBot="1">
      <c r="A53" s="46">
        <v>37412</v>
      </c>
      <c r="B53" t="s">
        <v>10</v>
      </c>
      <c r="C53" s="129"/>
      <c r="D53" s="129">
        <v>30</v>
      </c>
      <c r="E53" s="129"/>
      <c r="F53" s="129"/>
      <c r="G53" s="129">
        <f>SUM(C53:F53)</f>
        <v>30</v>
      </c>
      <c r="J53" t="s">
        <v>101</v>
      </c>
      <c r="K53" s="129">
        <f>G69</f>
        <v>4342.460000000001</v>
      </c>
      <c r="L53" s="129"/>
      <c r="M53" s="129"/>
      <c r="N53" s="131">
        <f>SUM(K53:M53)</f>
        <v>4342.460000000001</v>
      </c>
    </row>
    <row r="54" spans="2:14" ht="13.5" hidden="1" outlineLevel="1" thickTop="1">
      <c r="B54" t="s">
        <v>105</v>
      </c>
      <c r="C54" s="129"/>
      <c r="D54" s="129">
        <v>30</v>
      </c>
      <c r="E54" s="129"/>
      <c r="F54" s="129"/>
      <c r="G54" s="129">
        <f aca="true" t="shared" si="3" ref="G54:G68">SUM(C54:F54)</f>
        <v>30</v>
      </c>
      <c r="K54" s="129"/>
      <c r="L54" s="129"/>
      <c r="M54" s="129"/>
      <c r="N54" s="129">
        <f>N53-N52</f>
        <v>4092.480000000001</v>
      </c>
    </row>
    <row r="55" spans="1:14" ht="12.75" hidden="1" outlineLevel="1">
      <c r="A55" s="46"/>
      <c r="B55" t="s">
        <v>5</v>
      </c>
      <c r="C55" s="129"/>
      <c r="D55" s="129">
        <v>30</v>
      </c>
      <c r="E55" s="129"/>
      <c r="F55" s="129"/>
      <c r="G55" s="129">
        <f t="shared" si="3"/>
        <v>30</v>
      </c>
      <c r="K55" s="122"/>
      <c r="L55" s="122"/>
      <c r="M55" s="122"/>
      <c r="N55" s="122"/>
    </row>
    <row r="56" spans="1:14" ht="12.75" hidden="1" outlineLevel="1">
      <c r="A56" s="46">
        <v>37414</v>
      </c>
      <c r="B56" t="s">
        <v>56</v>
      </c>
      <c r="C56" s="129"/>
      <c r="D56" s="129">
        <v>30</v>
      </c>
      <c r="E56" s="129"/>
      <c r="F56" s="129"/>
      <c r="G56" s="129">
        <f>SUM(C56:F56)</f>
        <v>30</v>
      </c>
      <c r="K56" s="122"/>
      <c r="L56" s="122"/>
      <c r="M56" s="122"/>
      <c r="N56" s="122"/>
    </row>
    <row r="57" spans="2:14" ht="12.75" hidden="1" outlineLevel="1">
      <c r="B57" t="s">
        <v>6</v>
      </c>
      <c r="C57" s="129"/>
      <c r="D57" s="129">
        <v>30</v>
      </c>
      <c r="E57" s="129"/>
      <c r="F57" s="129"/>
      <c r="G57" s="129">
        <f t="shared" si="3"/>
        <v>30</v>
      </c>
      <c r="J57" s="9"/>
      <c r="K57" s="109"/>
      <c r="L57" s="109"/>
      <c r="M57" s="109"/>
      <c r="N57" s="114"/>
    </row>
    <row r="58" spans="2:14" ht="12.75" hidden="1" outlineLevel="1">
      <c r="B58" t="s">
        <v>53</v>
      </c>
      <c r="C58" s="129"/>
      <c r="D58" s="129">
        <v>30</v>
      </c>
      <c r="E58" s="129"/>
      <c r="F58" s="129"/>
      <c r="G58" s="129">
        <f t="shared" si="3"/>
        <v>30</v>
      </c>
      <c r="J58" s="13" t="s">
        <v>18</v>
      </c>
      <c r="K58" s="124"/>
      <c r="L58" s="124"/>
      <c r="M58" s="124"/>
      <c r="N58" s="108">
        <f>'Lloyd TSB'!E60</f>
        <v>0</v>
      </c>
    </row>
    <row r="59" spans="2:14" ht="12.75" hidden="1" outlineLevel="1">
      <c r="B59" t="s">
        <v>9</v>
      </c>
      <c r="C59" s="129"/>
      <c r="D59" s="129">
        <v>30</v>
      </c>
      <c r="E59" s="129"/>
      <c r="F59" s="129"/>
      <c r="G59" s="129">
        <f t="shared" si="3"/>
        <v>30</v>
      </c>
      <c r="J59" s="13" t="s">
        <v>169</v>
      </c>
      <c r="K59" s="7"/>
      <c r="L59" s="124"/>
      <c r="M59" s="124"/>
      <c r="N59" s="108">
        <f>'Charles Schwab'!H21</f>
        <v>69.02</v>
      </c>
    </row>
    <row r="60" spans="2:14" ht="12.75" hidden="1" outlineLevel="1">
      <c r="B60" t="s">
        <v>11</v>
      </c>
      <c r="C60" s="129"/>
      <c r="D60" s="129">
        <v>30</v>
      </c>
      <c r="E60" s="129"/>
      <c r="F60" s="129"/>
      <c r="G60" s="129">
        <f t="shared" si="3"/>
        <v>30</v>
      </c>
      <c r="J60" s="13" t="s">
        <v>170</v>
      </c>
      <c r="K60" s="7"/>
      <c r="L60" s="124"/>
      <c r="M60" s="124"/>
      <c r="N60" s="147">
        <f>Comdirect!H27</f>
        <v>4023.4599999999996</v>
      </c>
    </row>
    <row r="61" spans="1:14" ht="12.75" hidden="1" outlineLevel="1">
      <c r="A61" s="46"/>
      <c r="B61" t="s">
        <v>49</v>
      </c>
      <c r="C61" s="129"/>
      <c r="D61" s="129">
        <v>30</v>
      </c>
      <c r="E61" s="129"/>
      <c r="F61" s="129"/>
      <c r="G61" s="129">
        <f t="shared" si="3"/>
        <v>30</v>
      </c>
      <c r="J61" s="15"/>
      <c r="K61" s="109"/>
      <c r="L61" s="109"/>
      <c r="M61" s="109"/>
      <c r="N61" s="115">
        <f>SUM(N58:N60)</f>
        <v>4092.4799999999996</v>
      </c>
    </row>
    <row r="62" spans="2:7" ht="12.75" hidden="1" outlineLevel="1">
      <c r="B62" t="s">
        <v>82</v>
      </c>
      <c r="D62" s="129">
        <v>30</v>
      </c>
      <c r="E62" s="129"/>
      <c r="F62" s="129"/>
      <c r="G62" s="129">
        <f>SUM(B62:F62)</f>
        <v>30</v>
      </c>
    </row>
    <row r="63" spans="1:7" ht="12.75" hidden="1" outlineLevel="1">
      <c r="A63" s="46"/>
      <c r="B63" t="s">
        <v>52</v>
      </c>
      <c r="C63" s="129"/>
      <c r="D63" s="129">
        <v>30</v>
      </c>
      <c r="E63" s="124"/>
      <c r="F63" s="129"/>
      <c r="G63" s="129">
        <f t="shared" si="3"/>
        <v>30</v>
      </c>
    </row>
    <row r="64" spans="1:7" ht="12.75" hidden="1" outlineLevel="1">
      <c r="A64" s="46"/>
      <c r="B64" t="s">
        <v>54</v>
      </c>
      <c r="C64" s="129"/>
      <c r="D64" s="129">
        <v>30</v>
      </c>
      <c r="E64" s="124"/>
      <c r="F64" s="129"/>
      <c r="G64" s="129">
        <f t="shared" si="3"/>
        <v>30</v>
      </c>
    </row>
    <row r="65" spans="2:7" ht="12.75" hidden="1" outlineLevel="1">
      <c r="B65" t="s">
        <v>216</v>
      </c>
      <c r="E65" s="129"/>
      <c r="F65" s="129">
        <v>18.58</v>
      </c>
      <c r="G65" s="129">
        <f t="shared" si="3"/>
        <v>18.58</v>
      </c>
    </row>
    <row r="66" spans="1:7" ht="12.75" hidden="1" outlineLevel="1">
      <c r="A66" s="46">
        <v>37417</v>
      </c>
      <c r="B66" t="s">
        <v>8</v>
      </c>
      <c r="C66" s="101"/>
      <c r="D66" s="101">
        <v>30</v>
      </c>
      <c r="E66" s="101"/>
      <c r="F66" s="101"/>
      <c r="G66" s="101">
        <f t="shared" si="3"/>
        <v>30</v>
      </c>
    </row>
    <row r="67" spans="1:7" ht="12.75" hidden="1" outlineLevel="1">
      <c r="A67" s="46">
        <v>37435</v>
      </c>
      <c r="B67" t="s">
        <v>218</v>
      </c>
      <c r="C67" s="101"/>
      <c r="D67" s="101"/>
      <c r="E67" s="101"/>
      <c r="F67" s="101">
        <v>0.56</v>
      </c>
      <c r="G67" s="101">
        <f t="shared" si="3"/>
        <v>0.56</v>
      </c>
    </row>
    <row r="68" spans="1:7" ht="13.5" hidden="1" outlineLevel="1" thickBot="1">
      <c r="A68" s="46">
        <v>37437</v>
      </c>
      <c r="B68" t="s">
        <v>114</v>
      </c>
      <c r="C68" s="131"/>
      <c r="D68" s="131"/>
      <c r="E68" s="131">
        <v>0.04</v>
      </c>
      <c r="F68" s="131"/>
      <c r="G68" s="131">
        <f t="shared" si="3"/>
        <v>0.04</v>
      </c>
    </row>
    <row r="69" spans="3:7" ht="13.5" hidden="1" outlineLevel="1" thickTop="1">
      <c r="C69" s="129">
        <f>SUM(C51:C66)</f>
        <v>3903.28</v>
      </c>
      <c r="D69" s="129">
        <f>SUM(D51:D68)</f>
        <v>420</v>
      </c>
      <c r="E69" s="129">
        <f>SUM(E51:E68)</f>
        <v>0.04</v>
      </c>
      <c r="F69" s="129">
        <f>SUM(F51:F68)</f>
        <v>19.139999999999997</v>
      </c>
      <c r="G69" s="129">
        <f>SUM(G51:G68)</f>
        <v>4342.460000000001</v>
      </c>
    </row>
    <row r="70" ht="12.75" collapsed="1"/>
    <row r="71" spans="1:14" ht="12.75">
      <c r="A71" s="4" t="s">
        <v>70</v>
      </c>
      <c r="B71" s="4" t="s">
        <v>80</v>
      </c>
      <c r="I71" s="4" t="str">
        <f>A71</f>
        <v>July</v>
      </c>
      <c r="J71" s="4" t="s">
        <v>81</v>
      </c>
      <c r="K71" s="7"/>
      <c r="L71" s="7"/>
      <c r="M71" s="7"/>
      <c r="N71" s="8"/>
    </row>
    <row r="72" spans="1:14" ht="25.5" hidden="1" outlineLevel="1">
      <c r="A72" s="1" t="s">
        <v>0</v>
      </c>
      <c r="B72" s="1" t="s">
        <v>1</v>
      </c>
      <c r="C72" s="3" t="s">
        <v>2</v>
      </c>
      <c r="D72" s="3" t="s">
        <v>17</v>
      </c>
      <c r="E72" s="3" t="s">
        <v>59</v>
      </c>
      <c r="F72" s="3" t="s">
        <v>3</v>
      </c>
      <c r="G72" s="3" t="s">
        <v>4</v>
      </c>
      <c r="I72" s="1" t="s">
        <v>0</v>
      </c>
      <c r="J72" s="1" t="s">
        <v>1</v>
      </c>
      <c r="K72" s="3" t="s">
        <v>12</v>
      </c>
      <c r="L72" s="3" t="s">
        <v>13</v>
      </c>
      <c r="M72" s="3" t="s">
        <v>14</v>
      </c>
      <c r="N72" s="3" t="s">
        <v>4</v>
      </c>
    </row>
    <row r="73" spans="2:14" ht="13.5" hidden="1" outlineLevel="1" thickBot="1">
      <c r="B73" t="s">
        <v>15</v>
      </c>
      <c r="C73" s="129">
        <f>N61</f>
        <v>4092.4799999999996</v>
      </c>
      <c r="D73" s="129"/>
      <c r="E73" s="129"/>
      <c r="F73" s="129"/>
      <c r="G73" s="129">
        <f aca="true" t="shared" si="4" ref="G73:G82">SUM(C73:F73)</f>
        <v>4092.4799999999996</v>
      </c>
      <c r="I73" s="46"/>
      <c r="J73" s="7" t="s">
        <v>110</v>
      </c>
      <c r="K73" s="101"/>
      <c r="L73" s="124"/>
      <c r="M73" s="101"/>
      <c r="N73" s="101">
        <f>SUM(K73:M73)</f>
        <v>0</v>
      </c>
    </row>
    <row r="74" spans="1:14" ht="13.5" hidden="1" outlineLevel="1" thickTop="1">
      <c r="A74" s="46">
        <v>37438</v>
      </c>
      <c r="B74" t="s">
        <v>105</v>
      </c>
      <c r="D74" s="129">
        <v>30</v>
      </c>
      <c r="E74" s="129"/>
      <c r="F74" s="129"/>
      <c r="G74" s="129">
        <f t="shared" si="4"/>
        <v>30</v>
      </c>
      <c r="J74" s="86"/>
      <c r="K74" s="135">
        <f>SUM(K71:K73)</f>
        <v>0</v>
      </c>
      <c r="L74" s="135">
        <f>SUM(L71:L73)</f>
        <v>0</v>
      </c>
      <c r="M74" s="135">
        <f>SUM(M71:M73)</f>
        <v>0</v>
      </c>
      <c r="N74" s="135">
        <f>SUM(N71:N73)</f>
        <v>0</v>
      </c>
    </row>
    <row r="75" spans="2:14" ht="13.5" hidden="1" outlineLevel="1" thickBot="1">
      <c r="B75" t="s">
        <v>5</v>
      </c>
      <c r="C75" s="129"/>
      <c r="D75" s="129">
        <v>30</v>
      </c>
      <c r="E75" s="129"/>
      <c r="F75" s="134"/>
      <c r="G75" s="129">
        <f t="shared" si="4"/>
        <v>30</v>
      </c>
      <c r="J75" t="s">
        <v>101</v>
      </c>
      <c r="K75" s="129">
        <f>G91</f>
        <v>5430.73</v>
      </c>
      <c r="L75" s="129"/>
      <c r="M75" s="129"/>
      <c r="N75" s="131">
        <f>SUM(K75:M75)</f>
        <v>5430.73</v>
      </c>
    </row>
    <row r="76" spans="2:14" ht="13.5" hidden="1" outlineLevel="1" thickTop="1">
      <c r="B76" t="s">
        <v>10</v>
      </c>
      <c r="C76" s="129"/>
      <c r="D76" s="129">
        <v>30</v>
      </c>
      <c r="E76" s="129"/>
      <c r="F76" s="134"/>
      <c r="G76" s="129">
        <f t="shared" si="4"/>
        <v>30</v>
      </c>
      <c r="K76" s="129"/>
      <c r="L76" s="129"/>
      <c r="M76" s="129"/>
      <c r="N76" s="129">
        <f>N75-N74</f>
        <v>5430.73</v>
      </c>
    </row>
    <row r="77" spans="2:14" ht="12.75" hidden="1" outlineLevel="1">
      <c r="B77" t="s">
        <v>165</v>
      </c>
      <c r="C77" s="129"/>
      <c r="D77" s="129"/>
      <c r="E77" s="129"/>
      <c r="F77" s="134">
        <v>0.08</v>
      </c>
      <c r="G77" s="129">
        <f t="shared" si="4"/>
        <v>0.08</v>
      </c>
      <c r="K77" s="122"/>
      <c r="L77" s="122"/>
      <c r="M77" s="122"/>
      <c r="N77" s="122"/>
    </row>
    <row r="78" spans="1:14" ht="12.75" hidden="1" outlineLevel="1">
      <c r="A78" s="46">
        <v>37439</v>
      </c>
      <c r="B78" t="s">
        <v>7</v>
      </c>
      <c r="C78" s="129"/>
      <c r="D78" s="129">
        <v>30</v>
      </c>
      <c r="E78" s="129"/>
      <c r="F78" s="129"/>
      <c r="G78" s="129">
        <f t="shared" si="4"/>
        <v>30</v>
      </c>
      <c r="J78" s="10" t="s">
        <v>18</v>
      </c>
      <c r="K78" s="145"/>
      <c r="L78" s="145"/>
      <c r="M78" s="145"/>
      <c r="N78" s="146">
        <f>'Lloyd TSB'!E80</f>
        <v>-0.009999999999990905</v>
      </c>
    </row>
    <row r="79" spans="1:14" ht="12.75" hidden="1" outlineLevel="1">
      <c r="A79" s="46">
        <v>37440</v>
      </c>
      <c r="B79" t="s">
        <v>6</v>
      </c>
      <c r="D79" s="129">
        <v>30</v>
      </c>
      <c r="E79" s="129"/>
      <c r="F79" s="129"/>
      <c r="G79" s="129">
        <f t="shared" si="4"/>
        <v>30</v>
      </c>
      <c r="J79" s="13" t="s">
        <v>169</v>
      </c>
      <c r="K79" s="124"/>
      <c r="L79" s="124"/>
      <c r="M79" s="124"/>
      <c r="N79" s="238">
        <f>'Charles Schwab'!H27</f>
        <v>69.1</v>
      </c>
    </row>
    <row r="80" spans="2:14" ht="12.75" hidden="1" outlineLevel="1">
      <c r="B80" t="s">
        <v>53</v>
      </c>
      <c r="C80" s="129"/>
      <c r="D80" s="129">
        <v>30</v>
      </c>
      <c r="E80" s="129"/>
      <c r="F80" s="129"/>
      <c r="G80" s="129">
        <f t="shared" si="4"/>
        <v>30</v>
      </c>
      <c r="J80" s="13" t="s">
        <v>170</v>
      </c>
      <c r="K80" s="124"/>
      <c r="L80" s="124"/>
      <c r="M80" s="124"/>
      <c r="N80" s="147">
        <f>Comdirect!H34</f>
        <v>5361.639999999999</v>
      </c>
    </row>
    <row r="81" spans="2:14" ht="12.75" hidden="1" outlineLevel="1">
      <c r="B81" t="s">
        <v>9</v>
      </c>
      <c r="C81" s="129"/>
      <c r="D81" s="129">
        <v>30</v>
      </c>
      <c r="E81" s="129"/>
      <c r="F81" s="129"/>
      <c r="G81" s="129">
        <f t="shared" si="4"/>
        <v>30</v>
      </c>
      <c r="J81" s="15"/>
      <c r="K81" s="109"/>
      <c r="L81" s="109"/>
      <c r="M81" s="109"/>
      <c r="N81" s="115">
        <f>N78+N79+N80</f>
        <v>5430.73</v>
      </c>
    </row>
    <row r="82" spans="2:14" ht="12.75" hidden="1" outlineLevel="1">
      <c r="B82" t="s">
        <v>11</v>
      </c>
      <c r="C82" s="129"/>
      <c r="D82" s="129">
        <v>30</v>
      </c>
      <c r="E82" s="129"/>
      <c r="F82" s="129"/>
      <c r="G82" s="129">
        <f t="shared" si="4"/>
        <v>30</v>
      </c>
      <c r="J82" s="7"/>
      <c r="K82" s="124"/>
      <c r="L82" s="124"/>
      <c r="M82" s="124"/>
      <c r="N82" s="101"/>
    </row>
    <row r="83" spans="1:14" ht="12.75" hidden="1" outlineLevel="1">
      <c r="A83" s="46"/>
      <c r="B83" t="s">
        <v>50</v>
      </c>
      <c r="C83" s="101"/>
      <c r="D83" s="101">
        <v>30</v>
      </c>
      <c r="E83" s="129"/>
      <c r="F83" s="129"/>
      <c r="G83" s="129">
        <f aca="true" t="shared" si="5" ref="G83:G88">SUM(C83:F83)</f>
        <v>30</v>
      </c>
      <c r="J83" s="7"/>
      <c r="K83" s="7"/>
      <c r="L83" s="7"/>
      <c r="M83" s="7"/>
      <c r="N83" s="8"/>
    </row>
    <row r="84" spans="2:7" ht="12.75" hidden="1" outlineLevel="1">
      <c r="B84" t="s">
        <v>49</v>
      </c>
      <c r="C84" s="129"/>
      <c r="D84" s="129">
        <v>30</v>
      </c>
      <c r="E84" s="129"/>
      <c r="F84" s="129"/>
      <c r="G84" s="129">
        <f t="shared" si="5"/>
        <v>30</v>
      </c>
    </row>
    <row r="85" spans="2:7" ht="12.75" hidden="1" outlineLevel="1">
      <c r="B85" t="s">
        <v>52</v>
      </c>
      <c r="D85" s="129">
        <v>30</v>
      </c>
      <c r="E85" s="129"/>
      <c r="F85" s="129"/>
      <c r="G85" s="129">
        <f>SUM(C85:F85)</f>
        <v>30</v>
      </c>
    </row>
    <row r="86" spans="1:7" ht="12.75" hidden="1" outlineLevel="1">
      <c r="A86" s="46">
        <v>37441</v>
      </c>
      <c r="B86" t="s">
        <v>56</v>
      </c>
      <c r="C86" s="129"/>
      <c r="D86" s="129">
        <v>30</v>
      </c>
      <c r="E86" s="129"/>
      <c r="F86" s="129"/>
      <c r="G86" s="129">
        <f t="shared" si="5"/>
        <v>30</v>
      </c>
    </row>
    <row r="87" spans="1:7" ht="12.75" hidden="1" outlineLevel="1">
      <c r="A87" s="46"/>
      <c r="B87" t="s">
        <v>8</v>
      </c>
      <c r="C87" s="129"/>
      <c r="D87" s="129">
        <v>30</v>
      </c>
      <c r="E87" s="124"/>
      <c r="F87" s="129"/>
      <c r="G87" s="129">
        <f t="shared" si="5"/>
        <v>30</v>
      </c>
    </row>
    <row r="88" spans="1:7" ht="12.75" hidden="1" outlineLevel="1">
      <c r="A88" s="46">
        <v>37442</v>
      </c>
      <c r="B88" t="s">
        <v>54</v>
      </c>
      <c r="C88" s="129"/>
      <c r="D88" s="129">
        <v>30</v>
      </c>
      <c r="E88" s="129"/>
      <c r="F88" s="129"/>
      <c r="G88" s="129">
        <f t="shared" si="5"/>
        <v>30</v>
      </c>
    </row>
    <row r="89" spans="1:7" ht="12.75" hidden="1" outlineLevel="1">
      <c r="A89" s="46">
        <v>37447</v>
      </c>
      <c r="B89" t="s">
        <v>115</v>
      </c>
      <c r="C89" s="129"/>
      <c r="D89" s="129"/>
      <c r="E89" s="125">
        <v>0.02</v>
      </c>
      <c r="F89" s="129"/>
      <c r="G89" s="129">
        <f>SUM(C89:F89)</f>
        <v>0.02</v>
      </c>
    </row>
    <row r="90" spans="1:7" ht="13.5" hidden="1" outlineLevel="1" thickBot="1">
      <c r="A90" s="46">
        <v>37453</v>
      </c>
      <c r="B90" t="s">
        <v>219</v>
      </c>
      <c r="C90" s="131">
        <v>918.15</v>
      </c>
      <c r="D90" s="131"/>
      <c r="E90" s="131"/>
      <c r="F90" s="131"/>
      <c r="G90" s="131">
        <f>SUM(C90:F90)</f>
        <v>918.15</v>
      </c>
    </row>
    <row r="91" spans="3:7" ht="13.5" hidden="1" outlineLevel="1" thickTop="1">
      <c r="C91" s="129">
        <f>SUM(C73:C90)</f>
        <v>5010.629999999999</v>
      </c>
      <c r="D91" s="129">
        <f>SUM(D73:D90)</f>
        <v>420</v>
      </c>
      <c r="E91" s="129">
        <f>SUM(E73:E90)</f>
        <v>0.02</v>
      </c>
      <c r="F91" s="129">
        <f>SUM(F73:F90)</f>
        <v>0.08</v>
      </c>
      <c r="G91" s="129">
        <f>SUM(G73:G90)</f>
        <v>5430.73</v>
      </c>
    </row>
    <row r="92" ht="12.75" collapsed="1"/>
    <row r="93" spans="1:14" ht="12.75">
      <c r="A93" s="4" t="s">
        <v>116</v>
      </c>
      <c r="B93" s="4" t="s">
        <v>80</v>
      </c>
      <c r="I93" s="4" t="str">
        <f>A93</f>
        <v>August</v>
      </c>
      <c r="J93" s="4" t="s">
        <v>81</v>
      </c>
      <c r="K93" s="7"/>
      <c r="L93" s="7"/>
      <c r="M93" s="7"/>
      <c r="N93" s="8"/>
    </row>
    <row r="94" spans="1:14" ht="25.5" hidden="1" outlineLevel="1">
      <c r="A94" s="1" t="s">
        <v>0</v>
      </c>
      <c r="B94" s="1" t="s">
        <v>1</v>
      </c>
      <c r="C94" s="3" t="s">
        <v>2</v>
      </c>
      <c r="D94" s="133" t="s">
        <v>17</v>
      </c>
      <c r="E94" s="3" t="s">
        <v>59</v>
      </c>
      <c r="F94" s="3" t="s">
        <v>3</v>
      </c>
      <c r="G94" s="3" t="s">
        <v>4</v>
      </c>
      <c r="I94" s="1" t="s">
        <v>0</v>
      </c>
      <c r="J94" s="1" t="s">
        <v>1</v>
      </c>
      <c r="K94" s="3" t="s">
        <v>12</v>
      </c>
      <c r="L94" s="3" t="s">
        <v>13</v>
      </c>
      <c r="M94" s="3" t="s">
        <v>14</v>
      </c>
      <c r="N94" s="3" t="s">
        <v>4</v>
      </c>
    </row>
    <row r="95" spans="2:14" ht="13.5" hidden="1" outlineLevel="1" thickBot="1">
      <c r="B95" t="s">
        <v>15</v>
      </c>
      <c r="C95" s="129">
        <f>N81</f>
        <v>5430.73</v>
      </c>
      <c r="D95" s="129"/>
      <c r="E95" s="129"/>
      <c r="F95" s="129"/>
      <c r="G95" s="129">
        <f aca="true" t="shared" si="6" ref="G95:G100">SUM(C95:F95)</f>
        <v>5430.73</v>
      </c>
      <c r="I95" s="46"/>
      <c r="J95" s="7" t="s">
        <v>110</v>
      </c>
      <c r="K95" s="98"/>
      <c r="L95" s="98"/>
      <c r="M95" s="98"/>
      <c r="N95" s="134">
        <f>SUM(K95:M95)</f>
        <v>0</v>
      </c>
    </row>
    <row r="96" spans="1:14" ht="13.5" hidden="1" outlineLevel="1" thickTop="1">
      <c r="A96" s="46">
        <v>37469</v>
      </c>
      <c r="B96" t="s">
        <v>7</v>
      </c>
      <c r="C96" s="129"/>
      <c r="D96" s="129">
        <v>30</v>
      </c>
      <c r="E96" s="129"/>
      <c r="F96" s="129"/>
      <c r="G96" s="129">
        <f t="shared" si="6"/>
        <v>30</v>
      </c>
      <c r="J96" s="86"/>
      <c r="K96" s="135">
        <f>SUM(K92:K94)</f>
        <v>0</v>
      </c>
      <c r="L96" s="135">
        <f>SUM(L95:L95)</f>
        <v>0</v>
      </c>
      <c r="M96" s="135">
        <f>SUM(M95:M95)</f>
        <v>0</v>
      </c>
      <c r="N96" s="135">
        <f>SUM(N95:N95)</f>
        <v>0</v>
      </c>
    </row>
    <row r="97" spans="2:14" ht="13.5" hidden="1" outlineLevel="1" thickBot="1">
      <c r="B97" t="s">
        <v>105</v>
      </c>
      <c r="D97" s="129">
        <v>30</v>
      </c>
      <c r="E97" s="129"/>
      <c r="F97" s="134"/>
      <c r="G97" s="129">
        <f>SUM(C97:F97)</f>
        <v>30</v>
      </c>
      <c r="J97" t="s">
        <v>101</v>
      </c>
      <c r="K97" s="129">
        <f>G112</f>
        <v>5864.71</v>
      </c>
      <c r="L97" s="129"/>
      <c r="M97" s="129"/>
      <c r="N97" s="131">
        <f>SUM(K97:M97)</f>
        <v>5864.71</v>
      </c>
    </row>
    <row r="98" spans="2:14" ht="13.5" hidden="1" outlineLevel="1" thickTop="1">
      <c r="B98" t="s">
        <v>5</v>
      </c>
      <c r="C98" s="129"/>
      <c r="D98" s="129">
        <v>30</v>
      </c>
      <c r="E98" s="129"/>
      <c r="F98" s="134"/>
      <c r="G98" s="129">
        <f t="shared" si="6"/>
        <v>30</v>
      </c>
      <c r="K98" s="129"/>
      <c r="L98" s="129"/>
      <c r="M98" s="129"/>
      <c r="N98" s="129">
        <f>N97-N96</f>
        <v>5864.71</v>
      </c>
    </row>
    <row r="99" spans="2:14" ht="12.75" hidden="1" outlineLevel="1">
      <c r="B99" t="s">
        <v>225</v>
      </c>
      <c r="C99" s="129"/>
      <c r="D99" s="129"/>
      <c r="E99" s="129"/>
      <c r="F99" s="134">
        <v>13.97</v>
      </c>
      <c r="G99" s="129">
        <f t="shared" si="6"/>
        <v>13.97</v>
      </c>
      <c r="K99" s="129"/>
      <c r="L99" s="129"/>
      <c r="M99" s="129"/>
      <c r="N99" s="129"/>
    </row>
    <row r="100" spans="2:14" ht="12.75" hidden="1" outlineLevel="1">
      <c r="B100" t="s">
        <v>10</v>
      </c>
      <c r="C100" s="129"/>
      <c r="D100" s="129">
        <v>30</v>
      </c>
      <c r="E100" s="129"/>
      <c r="F100" s="129"/>
      <c r="G100" s="129">
        <f t="shared" si="6"/>
        <v>30</v>
      </c>
      <c r="K100" s="122"/>
      <c r="L100" s="122"/>
      <c r="M100" s="122"/>
      <c r="N100" s="122"/>
    </row>
    <row r="101" spans="1:14" ht="12.75" hidden="1" outlineLevel="1">
      <c r="A101" s="46">
        <v>37473</v>
      </c>
      <c r="B101" t="s">
        <v>6</v>
      </c>
      <c r="D101" s="129">
        <v>30</v>
      </c>
      <c r="E101" s="129"/>
      <c r="F101" s="129"/>
      <c r="G101" s="129">
        <f>SUM(C101:F101)</f>
        <v>30</v>
      </c>
      <c r="K101" s="122"/>
      <c r="L101" s="122"/>
      <c r="M101" s="122"/>
      <c r="N101" s="122"/>
    </row>
    <row r="102" spans="1:14" ht="12.75" hidden="1" outlineLevel="1">
      <c r="A102" s="46"/>
      <c r="B102" t="s">
        <v>53</v>
      </c>
      <c r="C102" s="129"/>
      <c r="D102" s="129">
        <v>30</v>
      </c>
      <c r="E102" s="129"/>
      <c r="F102" s="129"/>
      <c r="G102" s="129">
        <f aca="true" t="shared" si="7" ref="G102:G108">SUM(C102:F102)</f>
        <v>30</v>
      </c>
      <c r="J102" s="10" t="s">
        <v>18</v>
      </c>
      <c r="K102" s="145"/>
      <c r="L102" s="145"/>
      <c r="M102" s="145"/>
      <c r="N102" s="146">
        <f>'Lloyd TSB'!E102</f>
        <v>0</v>
      </c>
    </row>
    <row r="103" spans="1:14" ht="12.75" hidden="1" outlineLevel="1">
      <c r="A103" s="46"/>
      <c r="B103" t="s">
        <v>9</v>
      </c>
      <c r="C103" s="129"/>
      <c r="D103" s="129">
        <v>30</v>
      </c>
      <c r="E103" s="129"/>
      <c r="F103" s="129"/>
      <c r="G103" s="129">
        <f t="shared" si="7"/>
        <v>30</v>
      </c>
      <c r="J103" s="13" t="s">
        <v>169</v>
      </c>
      <c r="K103" s="124"/>
      <c r="L103" s="124"/>
      <c r="M103" s="124"/>
      <c r="N103" s="238">
        <f>'Charles Schwab'!H33</f>
        <v>0</v>
      </c>
    </row>
    <row r="104" spans="2:14" ht="12.75" hidden="1" outlineLevel="1">
      <c r="B104" t="s">
        <v>11</v>
      </c>
      <c r="C104" s="129"/>
      <c r="D104" s="129">
        <v>30</v>
      </c>
      <c r="E104" s="129"/>
      <c r="F104" s="129"/>
      <c r="G104" s="129">
        <f t="shared" si="7"/>
        <v>30</v>
      </c>
      <c r="J104" s="13" t="s">
        <v>170</v>
      </c>
      <c r="K104" s="124"/>
      <c r="L104" s="124"/>
      <c r="M104" s="124"/>
      <c r="N104" s="147">
        <f>Comdirect!H42</f>
        <v>5864.71</v>
      </c>
    </row>
    <row r="105" spans="2:14" ht="12.75" hidden="1" outlineLevel="1">
      <c r="B105" t="s">
        <v>50</v>
      </c>
      <c r="C105" s="129"/>
      <c r="D105" s="129">
        <v>30</v>
      </c>
      <c r="E105" s="129"/>
      <c r="F105" s="129"/>
      <c r="G105" s="129">
        <f t="shared" si="7"/>
        <v>30</v>
      </c>
      <c r="J105" s="15"/>
      <c r="K105" s="109"/>
      <c r="L105" s="109"/>
      <c r="M105" s="109"/>
      <c r="N105" s="115">
        <f>N102+N103+N104</f>
        <v>5864.71</v>
      </c>
    </row>
    <row r="106" spans="2:14" ht="12.75" hidden="1" outlineLevel="1">
      <c r="B106" t="s">
        <v>56</v>
      </c>
      <c r="D106" s="129">
        <v>30</v>
      </c>
      <c r="E106" s="129"/>
      <c r="F106" s="129"/>
      <c r="G106" s="129">
        <f>SUM(C106:F106)</f>
        <v>30</v>
      </c>
      <c r="J106" s="7"/>
      <c r="K106" s="7"/>
      <c r="L106" s="7"/>
      <c r="M106" s="7"/>
      <c r="N106" s="8"/>
    </row>
    <row r="107" spans="1:7" ht="12.75" hidden="1" outlineLevel="1">
      <c r="A107" s="46">
        <v>37474</v>
      </c>
      <c r="B107" t="s">
        <v>49</v>
      </c>
      <c r="D107" s="129">
        <v>30</v>
      </c>
      <c r="E107" s="129"/>
      <c r="F107" s="129"/>
      <c r="G107" s="129">
        <f>SUM(C107:F107)</f>
        <v>30</v>
      </c>
    </row>
    <row r="108" spans="1:7" ht="12.75" hidden="1" outlineLevel="1">
      <c r="A108" s="46"/>
      <c r="B108" t="s">
        <v>52</v>
      </c>
      <c r="C108" s="129"/>
      <c r="D108" s="129">
        <v>30</v>
      </c>
      <c r="E108" s="124"/>
      <c r="F108" s="129"/>
      <c r="G108" s="129">
        <f t="shared" si="7"/>
        <v>30</v>
      </c>
    </row>
    <row r="109" spans="1:7" ht="12.75" hidden="1" outlineLevel="1">
      <c r="A109" s="46">
        <v>37475</v>
      </c>
      <c r="B109" t="s">
        <v>8</v>
      </c>
      <c r="D109" s="129">
        <v>30</v>
      </c>
      <c r="E109" s="129"/>
      <c r="F109" s="129"/>
      <c r="G109" s="129">
        <f>SUM(C109:F109)</f>
        <v>30</v>
      </c>
    </row>
    <row r="110" spans="2:7" ht="12.75" hidden="1" outlineLevel="1">
      <c r="B110" t="s">
        <v>54</v>
      </c>
      <c r="D110" s="129">
        <v>30</v>
      </c>
      <c r="G110" s="129">
        <v>30</v>
      </c>
    </row>
    <row r="111" spans="1:7" ht="13.5" hidden="1" outlineLevel="1" thickBot="1">
      <c r="A111" s="46">
        <v>37480</v>
      </c>
      <c r="B111" t="s">
        <v>115</v>
      </c>
      <c r="C111" s="131"/>
      <c r="D111" s="131"/>
      <c r="E111" s="162">
        <v>0.01</v>
      </c>
      <c r="F111" s="131"/>
      <c r="G111" s="131">
        <f>SUM(C111:F111)</f>
        <v>0.01</v>
      </c>
    </row>
    <row r="112" spans="3:7" ht="13.5" hidden="1" outlineLevel="1" thickTop="1">
      <c r="C112" s="101">
        <f>SUM(C95:C111)</f>
        <v>5430.73</v>
      </c>
      <c r="D112" s="101">
        <f>SUM(D95:D111)</f>
        <v>420</v>
      </c>
      <c r="E112" s="101">
        <f>SUM(E95:E111)</f>
        <v>0.01</v>
      </c>
      <c r="F112" s="101">
        <f>SUM(F95:F111)</f>
        <v>13.97</v>
      </c>
      <c r="G112" s="101">
        <f>SUM(G95:G111)</f>
        <v>5864.71</v>
      </c>
    </row>
    <row r="113" ht="12.75" collapsed="1">
      <c r="A113" s="46"/>
    </row>
    <row r="114" spans="1:14" ht="12.75">
      <c r="A114" s="4" t="s">
        <v>147</v>
      </c>
      <c r="B114" s="4" t="s">
        <v>80</v>
      </c>
      <c r="I114" s="4" t="str">
        <f>A114</f>
        <v>September</v>
      </c>
      <c r="J114" s="4" t="s">
        <v>81</v>
      </c>
      <c r="K114" s="7"/>
      <c r="L114" s="7"/>
      <c r="M114" s="7"/>
      <c r="N114" s="8"/>
    </row>
    <row r="115" spans="1:14" ht="25.5" hidden="1" outlineLevel="1">
      <c r="A115" s="1" t="s">
        <v>0</v>
      </c>
      <c r="B115" s="1" t="s">
        <v>1</v>
      </c>
      <c r="C115" s="3" t="s">
        <v>2</v>
      </c>
      <c r="D115" s="133" t="s">
        <v>17</v>
      </c>
      <c r="E115" s="3" t="s">
        <v>59</v>
      </c>
      <c r="F115" s="3" t="s">
        <v>3</v>
      </c>
      <c r="G115" s="3" t="s">
        <v>4</v>
      </c>
      <c r="I115" s="1" t="s">
        <v>0</v>
      </c>
      <c r="J115" s="1" t="s">
        <v>1</v>
      </c>
      <c r="K115" s="3" t="s">
        <v>12</v>
      </c>
      <c r="L115" s="3" t="s">
        <v>13</v>
      </c>
      <c r="M115" s="3" t="s">
        <v>14</v>
      </c>
      <c r="N115" s="3" t="s">
        <v>4</v>
      </c>
    </row>
    <row r="116" spans="2:14" ht="12.75" hidden="1" outlineLevel="1">
      <c r="B116" t="s">
        <v>15</v>
      </c>
      <c r="C116" s="129">
        <f>N105</f>
        <v>5864.71</v>
      </c>
      <c r="D116" s="129"/>
      <c r="E116" s="129"/>
      <c r="F116" s="129"/>
      <c r="G116" s="129">
        <f>SUM(C116:F116)</f>
        <v>5864.71</v>
      </c>
      <c r="I116" s="139">
        <v>37508</v>
      </c>
      <c r="J116" s="1" t="s">
        <v>240</v>
      </c>
      <c r="K116" s="133">
        <v>0.27</v>
      </c>
      <c r="L116" s="3"/>
      <c r="M116" s="3"/>
      <c r="N116" s="101">
        <f>SUM(K116:M116)</f>
        <v>0.27</v>
      </c>
    </row>
    <row r="117" spans="1:14" ht="12.75" hidden="1" outlineLevel="1">
      <c r="A117" s="46">
        <v>37498</v>
      </c>
      <c r="B117" s="7" t="s">
        <v>7</v>
      </c>
      <c r="C117" s="129"/>
      <c r="D117" s="129">
        <v>30</v>
      </c>
      <c r="E117" s="129"/>
      <c r="F117" s="134"/>
      <c r="G117" s="129">
        <f>SUM(C117:F117)</f>
        <v>30</v>
      </c>
      <c r="I117" s="139">
        <v>37511</v>
      </c>
      <c r="J117" s="7" t="s">
        <v>230</v>
      </c>
      <c r="K117" s="101">
        <v>0</v>
      </c>
      <c r="L117" s="101">
        <v>0</v>
      </c>
      <c r="M117" s="101">
        <v>1003.31</v>
      </c>
      <c r="N117" s="101">
        <f>SUM(K117:M117)</f>
        <v>1003.31</v>
      </c>
    </row>
    <row r="118" spans="1:14" ht="13.5" hidden="1" outlineLevel="1" thickBot="1">
      <c r="A118" s="46">
        <v>37501</v>
      </c>
      <c r="B118" t="s">
        <v>105</v>
      </c>
      <c r="C118" s="129"/>
      <c r="D118" s="129">
        <v>30</v>
      </c>
      <c r="E118" s="129"/>
      <c r="F118" s="134"/>
      <c r="G118" s="129">
        <f>SUM(C118:F118)</f>
        <v>30</v>
      </c>
      <c r="I118" s="139">
        <v>37522</v>
      </c>
      <c r="J118" s="7" t="s">
        <v>105</v>
      </c>
      <c r="K118" s="101">
        <v>0</v>
      </c>
      <c r="L118" s="101">
        <v>453.58</v>
      </c>
      <c r="M118" s="101"/>
      <c r="N118" s="101">
        <f>SUM(K118:M118)</f>
        <v>453.58</v>
      </c>
    </row>
    <row r="119" spans="1:14" ht="13.5" hidden="1" outlineLevel="1" thickTop="1">
      <c r="A119" s="46"/>
      <c r="B119" t="s">
        <v>5</v>
      </c>
      <c r="C119" s="129"/>
      <c r="D119" s="129">
        <v>30</v>
      </c>
      <c r="E119" s="129"/>
      <c r="F119" s="129"/>
      <c r="G119" s="129">
        <f>SUM(C119:F119)</f>
        <v>30</v>
      </c>
      <c r="I119" s="46"/>
      <c r="J119" s="86"/>
      <c r="K119" s="135">
        <f>SUM(K115:K118)</f>
        <v>0.27</v>
      </c>
      <c r="L119" s="135">
        <f>SUM(L117:L118)</f>
        <v>453.58</v>
      </c>
      <c r="M119" s="135">
        <f>SUM(M117:M118)</f>
        <v>1003.31</v>
      </c>
      <c r="N119" s="135">
        <f>SUM(N116:N118)</f>
        <v>1457.1599999999999</v>
      </c>
    </row>
    <row r="120" spans="1:14" ht="13.5" hidden="1" outlineLevel="1" thickBot="1">
      <c r="A120" s="46"/>
      <c r="B120" t="s">
        <v>10</v>
      </c>
      <c r="C120" s="129"/>
      <c r="D120" s="129">
        <v>30</v>
      </c>
      <c r="E120" s="129"/>
      <c r="F120" s="129"/>
      <c r="G120" s="129">
        <f>SUM(C120:F120)</f>
        <v>30</v>
      </c>
      <c r="J120" t="s">
        <v>101</v>
      </c>
      <c r="K120" s="2">
        <f>G133</f>
        <v>6286.320000000001</v>
      </c>
      <c r="L120" s="2"/>
      <c r="M120" s="2"/>
      <c r="N120" s="6">
        <f>SUM(K120:M120)</f>
        <v>6286.320000000001</v>
      </c>
    </row>
    <row r="121" spans="1:14" ht="13.5" hidden="1" outlineLevel="1" thickTop="1">
      <c r="A121" s="46">
        <v>37503</v>
      </c>
      <c r="B121" s="7" t="s">
        <v>6</v>
      </c>
      <c r="C121" s="129"/>
      <c r="D121" s="129">
        <v>30</v>
      </c>
      <c r="E121" s="129"/>
      <c r="F121" s="129"/>
      <c r="G121" s="129">
        <f aca="true" t="shared" si="8" ref="G121:G128">SUM(C121:F121)</f>
        <v>30</v>
      </c>
      <c r="K121" s="2"/>
      <c r="L121" s="2"/>
      <c r="M121" s="2"/>
      <c r="N121" s="2">
        <f>N120-N119</f>
        <v>4829.160000000001</v>
      </c>
    </row>
    <row r="122" spans="1:14" ht="12.75" hidden="1" outlineLevel="1">
      <c r="A122" s="46"/>
      <c r="B122" s="7" t="s">
        <v>53</v>
      </c>
      <c r="C122" s="129"/>
      <c r="D122" s="129">
        <v>30</v>
      </c>
      <c r="E122" s="129"/>
      <c r="F122" s="129"/>
      <c r="G122" s="129">
        <f t="shared" si="8"/>
        <v>30</v>
      </c>
      <c r="K122" s="2"/>
      <c r="L122" s="2"/>
      <c r="M122" s="2"/>
      <c r="N122" s="2"/>
    </row>
    <row r="123" spans="1:7" ht="12.75" hidden="1" outlineLevel="1">
      <c r="A123" s="46"/>
      <c r="B123" s="7" t="s">
        <v>9</v>
      </c>
      <c r="C123" s="129"/>
      <c r="D123" s="129">
        <v>30</v>
      </c>
      <c r="E123" s="129"/>
      <c r="F123" s="129"/>
      <c r="G123" s="129">
        <f t="shared" si="8"/>
        <v>30</v>
      </c>
    </row>
    <row r="124" spans="1:7" ht="12.75" hidden="1" outlineLevel="1">
      <c r="A124" s="46"/>
      <c r="B124" s="7" t="s">
        <v>11</v>
      </c>
      <c r="C124" s="129"/>
      <c r="D124" s="129">
        <v>30</v>
      </c>
      <c r="E124" s="129"/>
      <c r="F124" s="129"/>
      <c r="G124" s="129">
        <f t="shared" si="8"/>
        <v>30</v>
      </c>
    </row>
    <row r="125" spans="1:14" ht="12.75" hidden="1" outlineLevel="1">
      <c r="A125" s="139"/>
      <c r="B125" s="7" t="s">
        <v>50</v>
      </c>
      <c r="C125" s="129"/>
      <c r="D125" s="129">
        <v>30</v>
      </c>
      <c r="E125" s="129"/>
      <c r="F125" s="129"/>
      <c r="G125" s="129">
        <f t="shared" si="8"/>
        <v>30</v>
      </c>
      <c r="J125" s="10" t="s">
        <v>237</v>
      </c>
      <c r="K125" s="11"/>
      <c r="L125" s="11"/>
      <c r="M125" s="11"/>
      <c r="N125" s="146">
        <v>-453.58</v>
      </c>
    </row>
    <row r="126" spans="1:14" ht="12.75" hidden="1" outlineLevel="1">
      <c r="A126" s="4"/>
      <c r="B126" s="7" t="s">
        <v>56</v>
      </c>
      <c r="C126" s="129"/>
      <c r="D126" s="129">
        <v>30.27</v>
      </c>
      <c r="E126" s="129"/>
      <c r="F126" s="129"/>
      <c r="G126" s="129">
        <f t="shared" si="8"/>
        <v>30.27</v>
      </c>
      <c r="J126" s="13" t="s">
        <v>18</v>
      </c>
      <c r="K126" s="124"/>
      <c r="L126" s="124"/>
      <c r="M126" s="124"/>
      <c r="N126" s="108">
        <f>'Lloyd TSB'!E122</f>
        <v>470.02</v>
      </c>
    </row>
    <row r="127" spans="1:14" ht="12.75" hidden="1" outlineLevel="1">
      <c r="A127" s="4"/>
      <c r="B127" s="7" t="s">
        <v>49</v>
      </c>
      <c r="C127" s="129"/>
      <c r="D127" s="129">
        <v>30</v>
      </c>
      <c r="E127" s="124"/>
      <c r="F127" s="129"/>
      <c r="G127" s="129">
        <f t="shared" si="8"/>
        <v>30</v>
      </c>
      <c r="J127" s="13" t="s">
        <v>169</v>
      </c>
      <c r="K127" s="124"/>
      <c r="L127" s="124"/>
      <c r="M127" s="124"/>
      <c r="N127" s="238">
        <f>'Charles Schwab'!H38</f>
        <v>0</v>
      </c>
    </row>
    <row r="128" spans="2:14" ht="12.75" hidden="1" outlineLevel="1">
      <c r="B128" s="7" t="s">
        <v>52</v>
      </c>
      <c r="C128" s="129"/>
      <c r="D128" s="129">
        <v>30</v>
      </c>
      <c r="E128" s="129"/>
      <c r="F128" s="129"/>
      <c r="G128" s="129">
        <f t="shared" si="8"/>
        <v>30</v>
      </c>
      <c r="J128" s="13" t="s">
        <v>170</v>
      </c>
      <c r="K128" s="124"/>
      <c r="L128" s="124"/>
      <c r="M128" s="124"/>
      <c r="N128" s="147">
        <f>Comdirect!H50</f>
        <v>4812.719999999999</v>
      </c>
    </row>
    <row r="129" spans="1:17" ht="12.75" hidden="1" outlineLevel="1">
      <c r="A129" s="46">
        <v>37504</v>
      </c>
      <c r="B129" s="7" t="s">
        <v>54</v>
      </c>
      <c r="C129" s="129"/>
      <c r="D129" s="129">
        <v>30</v>
      </c>
      <c r="E129" s="124"/>
      <c r="F129" s="129"/>
      <c r="G129" s="129">
        <f>SUM(C129:F129)</f>
        <v>30</v>
      </c>
      <c r="J129" s="15"/>
      <c r="K129" s="109"/>
      <c r="L129" s="109"/>
      <c r="M129" s="109"/>
      <c r="N129" s="115">
        <f>N125+N126+N127+N128</f>
        <v>4829.159999999999</v>
      </c>
      <c r="P129" s="46"/>
      <c r="Q129" s="7"/>
    </row>
    <row r="130" spans="2:17" ht="12.75" hidden="1" outlineLevel="1">
      <c r="B130" s="7" t="s">
        <v>8</v>
      </c>
      <c r="C130" s="129"/>
      <c r="D130" s="129">
        <v>30</v>
      </c>
      <c r="E130" s="129"/>
      <c r="F130" s="129"/>
      <c r="G130" s="129">
        <f>SUM(C130:F130)</f>
        <v>30</v>
      </c>
      <c r="P130" s="46"/>
      <c r="Q130" s="7"/>
    </row>
    <row r="131" spans="1:17" ht="12.75" hidden="1" outlineLevel="1">
      <c r="A131" s="46">
        <v>37509</v>
      </c>
      <c r="B131" t="s">
        <v>115</v>
      </c>
      <c r="C131" s="101"/>
      <c r="D131" s="101"/>
      <c r="E131" s="97">
        <v>0.02</v>
      </c>
      <c r="F131" s="101"/>
      <c r="G131" s="101">
        <f>SUM(C131:F131)</f>
        <v>0.02</v>
      </c>
      <c r="N131" s="2"/>
      <c r="P131" s="46"/>
      <c r="Q131" s="7"/>
    </row>
    <row r="132" spans="1:16" ht="13.5" hidden="1" outlineLevel="1" thickBot="1">
      <c r="A132" s="46">
        <v>37529</v>
      </c>
      <c r="B132" t="s">
        <v>186</v>
      </c>
      <c r="C132" s="131"/>
      <c r="D132" s="131"/>
      <c r="E132" s="162">
        <v>1.32</v>
      </c>
      <c r="F132" s="131"/>
      <c r="G132" s="131">
        <f>SUM(C132:F132)</f>
        <v>1.32</v>
      </c>
      <c r="P132" s="46"/>
    </row>
    <row r="133" spans="3:7" ht="13.5" hidden="1" outlineLevel="1" thickTop="1">
      <c r="C133" s="101">
        <f>SUM(C116:C132)</f>
        <v>5864.71</v>
      </c>
      <c r="D133" s="101">
        <f>SUM(D116:D132)</f>
        <v>420.27</v>
      </c>
      <c r="E133" s="101">
        <f>SUM(E116:E132)</f>
        <v>1.34</v>
      </c>
      <c r="F133" s="101">
        <f>SUM(F116:F132)</f>
        <v>0</v>
      </c>
      <c r="G133" s="101">
        <f>SUM(G116:G132)</f>
        <v>6286.320000000001</v>
      </c>
    </row>
    <row r="134" ht="12.75" collapsed="1"/>
    <row r="135" spans="1:14" ht="12.75">
      <c r="A135" s="4" t="s">
        <v>150</v>
      </c>
      <c r="B135" s="4" t="s">
        <v>80</v>
      </c>
      <c r="I135" s="4" t="str">
        <f>A135</f>
        <v>October</v>
      </c>
      <c r="J135" s="4" t="s">
        <v>81</v>
      </c>
      <c r="K135" s="7"/>
      <c r="L135" s="7"/>
      <c r="M135" s="7"/>
      <c r="N135" s="8"/>
    </row>
    <row r="136" spans="1:14" ht="25.5" hidden="1" outlineLevel="1">
      <c r="A136" s="1" t="s">
        <v>0</v>
      </c>
      <c r="B136" s="1" t="s">
        <v>1</v>
      </c>
      <c r="C136" s="3" t="s">
        <v>2</v>
      </c>
      <c r="D136" s="133" t="s">
        <v>17</v>
      </c>
      <c r="E136" s="3" t="s">
        <v>59</v>
      </c>
      <c r="F136" s="3" t="s">
        <v>3</v>
      </c>
      <c r="G136" s="3" t="s">
        <v>4</v>
      </c>
      <c r="I136" s="1" t="s">
        <v>0</v>
      </c>
      <c r="J136" s="1" t="s">
        <v>1</v>
      </c>
      <c r="K136" s="3" t="s">
        <v>12</v>
      </c>
      <c r="L136" s="3" t="s">
        <v>13</v>
      </c>
      <c r="M136" s="3" t="s">
        <v>14</v>
      </c>
      <c r="N136" s="3" t="s">
        <v>4</v>
      </c>
    </row>
    <row r="137" spans="2:14" ht="12.75" hidden="1" outlineLevel="1">
      <c r="B137" t="s">
        <v>15</v>
      </c>
      <c r="C137" s="129">
        <f>N129</f>
        <v>4829.159999999999</v>
      </c>
      <c r="D137" s="129"/>
      <c r="E137" s="129"/>
      <c r="F137" s="129"/>
      <c r="G137" s="129">
        <f aca="true" t="shared" si="9" ref="G137:G142">SUM(C137:F137)</f>
        <v>4829.159999999999</v>
      </c>
      <c r="I137" s="46">
        <v>37539</v>
      </c>
      <c r="J137" s="1" t="s">
        <v>118</v>
      </c>
      <c r="K137" s="3"/>
      <c r="L137" s="133"/>
      <c r="M137" s="133">
        <v>988.36</v>
      </c>
      <c r="N137" s="133">
        <f>SUM(K137:M137)</f>
        <v>988.36</v>
      </c>
    </row>
    <row r="138" spans="1:14" ht="13.5" hidden="1" outlineLevel="1" thickBot="1">
      <c r="A138" s="46">
        <v>37530</v>
      </c>
      <c r="B138" t="s">
        <v>156</v>
      </c>
      <c r="C138" s="129"/>
      <c r="D138" s="129"/>
      <c r="E138" s="125"/>
      <c r="F138" s="134">
        <v>45.39</v>
      </c>
      <c r="G138" s="129">
        <f t="shared" si="9"/>
        <v>45.39</v>
      </c>
      <c r="I138" s="139">
        <v>37529</v>
      </c>
      <c r="J138" s="7" t="s">
        <v>252</v>
      </c>
      <c r="K138" s="101">
        <v>0</v>
      </c>
      <c r="L138" s="101">
        <v>632.19</v>
      </c>
      <c r="M138" s="101"/>
      <c r="N138" s="101">
        <f>SUM(K138:M138)</f>
        <v>632.19</v>
      </c>
    </row>
    <row r="139" spans="1:14" ht="13.5" hidden="1" outlineLevel="1" thickTop="1">
      <c r="A139" s="46"/>
      <c r="B139" t="s">
        <v>233</v>
      </c>
      <c r="C139" s="129"/>
      <c r="D139" s="129"/>
      <c r="E139" s="125"/>
      <c r="F139" s="134">
        <v>5.43</v>
      </c>
      <c r="G139" s="129">
        <f t="shared" si="9"/>
        <v>5.43</v>
      </c>
      <c r="J139" s="86"/>
      <c r="K139" s="135">
        <f>SUM(K135:K136)</f>
        <v>0</v>
      </c>
      <c r="L139" s="135">
        <f>SUM(L137:L138)</f>
        <v>632.19</v>
      </c>
      <c r="M139" s="135">
        <f>SUM(M137:M138)</f>
        <v>988.36</v>
      </c>
      <c r="N139" s="135">
        <f>SUM(N137:N138)</f>
        <v>1620.5500000000002</v>
      </c>
    </row>
    <row r="140" spans="2:14" ht="13.5" hidden="1" outlineLevel="1" thickBot="1">
      <c r="B140" t="s">
        <v>5</v>
      </c>
      <c r="C140" s="129"/>
      <c r="D140" s="129">
        <v>30</v>
      </c>
      <c r="E140" s="129"/>
      <c r="F140" s="134"/>
      <c r="G140" s="129">
        <f t="shared" si="9"/>
        <v>30</v>
      </c>
      <c r="J140" t="s">
        <v>101</v>
      </c>
      <c r="K140" s="2">
        <f>G155</f>
        <v>5285.409999999999</v>
      </c>
      <c r="L140" s="2"/>
      <c r="M140" s="2"/>
      <c r="N140" s="131">
        <f>SUM(K140:M140)</f>
        <v>5285.409999999999</v>
      </c>
    </row>
    <row r="141" spans="2:14" ht="13.5" hidden="1" outlineLevel="1" thickTop="1">
      <c r="B141" t="s">
        <v>10</v>
      </c>
      <c r="D141" s="129">
        <v>30</v>
      </c>
      <c r="E141" s="129"/>
      <c r="F141" s="129"/>
      <c r="G141" s="129">
        <f>SUM(B141:F141)</f>
        <v>30</v>
      </c>
      <c r="K141" s="2"/>
      <c r="L141" s="2"/>
      <c r="M141" s="2"/>
      <c r="N141" s="129">
        <f>N140-N139</f>
        <v>3664.8599999999988</v>
      </c>
    </row>
    <row r="142" spans="1:14" ht="12.75" hidden="1" outlineLevel="1">
      <c r="A142" s="46">
        <v>37531</v>
      </c>
      <c r="B142" t="s">
        <v>7</v>
      </c>
      <c r="C142" s="129"/>
      <c r="D142" s="129">
        <v>30</v>
      </c>
      <c r="E142" s="129"/>
      <c r="F142" s="129"/>
      <c r="G142" s="129">
        <f t="shared" si="9"/>
        <v>30</v>
      </c>
      <c r="K142" s="2"/>
      <c r="L142" s="2"/>
      <c r="M142" s="2"/>
      <c r="N142" s="129"/>
    </row>
    <row r="143" spans="1:14" ht="12.75" hidden="1" outlineLevel="1">
      <c r="A143" s="46">
        <v>37532</v>
      </c>
      <c r="B143" t="s">
        <v>6</v>
      </c>
      <c r="D143" s="129">
        <v>30</v>
      </c>
      <c r="E143" s="129"/>
      <c r="F143" s="129"/>
      <c r="G143" s="129">
        <f>SUM(C143:F143)</f>
        <v>30</v>
      </c>
      <c r="K143" s="2"/>
      <c r="L143" s="2"/>
      <c r="M143" s="2"/>
      <c r="N143" s="129"/>
    </row>
    <row r="144" spans="1:13" ht="12.75" hidden="1" outlineLevel="1">
      <c r="A144" s="46"/>
      <c r="B144" t="s">
        <v>53</v>
      </c>
      <c r="C144" s="129"/>
      <c r="D144" s="129">
        <v>30</v>
      </c>
      <c r="E144" s="129"/>
      <c r="F144" s="129"/>
      <c r="G144" s="129">
        <f aca="true" t="shared" si="10" ref="G144:G151">SUM(C144:F144)</f>
        <v>30</v>
      </c>
      <c r="K144" s="2"/>
      <c r="L144" s="2"/>
      <c r="M144" s="2"/>
    </row>
    <row r="145" spans="1:14" ht="12.75" hidden="1" outlineLevel="1">
      <c r="A145" s="46"/>
      <c r="B145" t="s">
        <v>9</v>
      </c>
      <c r="C145" s="129"/>
      <c r="D145" s="129">
        <v>30</v>
      </c>
      <c r="E145" s="129"/>
      <c r="F145" s="129"/>
      <c r="G145" s="129">
        <f t="shared" si="10"/>
        <v>30</v>
      </c>
      <c r="J145" s="10" t="s">
        <v>253</v>
      </c>
      <c r="K145" s="11"/>
      <c r="L145" s="11"/>
      <c r="M145" s="11"/>
      <c r="N145" s="146">
        <v>-632.19</v>
      </c>
    </row>
    <row r="146" spans="2:14" ht="12.75" hidden="1" outlineLevel="1">
      <c r="B146" t="s">
        <v>11</v>
      </c>
      <c r="C146" s="129"/>
      <c r="D146" s="129">
        <v>30</v>
      </c>
      <c r="E146" s="129"/>
      <c r="F146" s="129"/>
      <c r="G146" s="129">
        <f t="shared" si="10"/>
        <v>30</v>
      </c>
      <c r="J146" s="13" t="s">
        <v>18</v>
      </c>
      <c r="K146" s="124"/>
      <c r="L146" s="124"/>
      <c r="M146" s="124"/>
      <c r="N146" s="108">
        <f>'Lloyd TSB'!E144</f>
        <v>667.26</v>
      </c>
    </row>
    <row r="147" spans="2:14" ht="12.75" hidden="1" outlineLevel="1">
      <c r="B147" t="s">
        <v>50</v>
      </c>
      <c r="C147" s="129"/>
      <c r="D147" s="129">
        <v>30</v>
      </c>
      <c r="E147" s="129"/>
      <c r="F147" s="129"/>
      <c r="G147" s="129">
        <f t="shared" si="10"/>
        <v>30</v>
      </c>
      <c r="J147" s="13" t="s">
        <v>169</v>
      </c>
      <c r="K147" s="124"/>
      <c r="L147" s="124"/>
      <c r="M147" s="124"/>
      <c r="N147" s="238">
        <f>'Charles Schwab'!H47</f>
        <v>0</v>
      </c>
    </row>
    <row r="148" spans="2:14" ht="12.75" hidden="1" outlineLevel="1">
      <c r="B148" t="s">
        <v>56</v>
      </c>
      <c r="C148" s="129"/>
      <c r="D148" s="129">
        <v>30</v>
      </c>
      <c r="E148" s="129"/>
      <c r="F148" s="129"/>
      <c r="G148" s="129">
        <f t="shared" si="10"/>
        <v>30</v>
      </c>
      <c r="J148" s="13" t="s">
        <v>170</v>
      </c>
      <c r="K148" s="124"/>
      <c r="L148" s="124"/>
      <c r="M148" s="124"/>
      <c r="N148" s="147">
        <f>Comdirect!H58</f>
        <v>3629.7899999999995</v>
      </c>
    </row>
    <row r="149" spans="1:14" ht="12.75" hidden="1" outlineLevel="1">
      <c r="A149" s="46"/>
      <c r="B149" t="s">
        <v>49</v>
      </c>
      <c r="C149" s="129"/>
      <c r="D149" s="129">
        <v>30</v>
      </c>
      <c r="E149" s="129"/>
      <c r="F149" s="129"/>
      <c r="G149" s="129">
        <f t="shared" si="10"/>
        <v>30</v>
      </c>
      <c r="J149" s="15"/>
      <c r="K149" s="9"/>
      <c r="L149" s="9"/>
      <c r="M149" s="9"/>
      <c r="N149" s="115">
        <f>N146+N147+N148+N145</f>
        <v>3664.859999999999</v>
      </c>
    </row>
    <row r="150" spans="1:14" ht="12.75" hidden="1" outlineLevel="1">
      <c r="A150" s="46"/>
      <c r="B150" t="s">
        <v>52</v>
      </c>
      <c r="D150" s="129">
        <v>30</v>
      </c>
      <c r="E150" s="124"/>
      <c r="F150" s="129"/>
      <c r="G150" s="129">
        <f>SUM(C150:F150)</f>
        <v>30</v>
      </c>
      <c r="J150" s="7"/>
      <c r="K150" s="7"/>
      <c r="L150" s="7"/>
      <c r="M150" s="7"/>
      <c r="N150" s="8"/>
    </row>
    <row r="151" spans="1:14" ht="12.75" hidden="1" outlineLevel="1">
      <c r="A151" s="46">
        <v>37533</v>
      </c>
      <c r="B151" t="s">
        <v>8</v>
      </c>
      <c r="C151" s="129"/>
      <c r="D151" s="129">
        <v>30</v>
      </c>
      <c r="E151" s="129"/>
      <c r="F151" s="129"/>
      <c r="G151" s="129">
        <f t="shared" si="10"/>
        <v>30</v>
      </c>
      <c r="N151" s="2"/>
    </row>
    <row r="152" spans="1:14" ht="12.75" hidden="1" outlineLevel="1">
      <c r="A152" s="46">
        <v>37539</v>
      </c>
      <c r="B152" t="s">
        <v>54</v>
      </c>
      <c r="C152" s="129"/>
      <c r="D152" s="129">
        <v>30</v>
      </c>
      <c r="E152" s="125"/>
      <c r="F152" s="129"/>
      <c r="G152" s="129">
        <f>SUM(C152:F152)</f>
        <v>30</v>
      </c>
      <c r="N152" s="2"/>
    </row>
    <row r="153" spans="1:14" ht="12.75" hidden="1" outlineLevel="1">
      <c r="A153" s="46"/>
      <c r="B153" t="s">
        <v>115</v>
      </c>
      <c r="C153" s="101"/>
      <c r="E153" s="101">
        <v>0.03</v>
      </c>
      <c r="F153" s="101"/>
      <c r="G153" s="101">
        <f>SUM(C153:F153)</f>
        <v>0.03</v>
      </c>
      <c r="N153" s="2"/>
    </row>
    <row r="154" spans="1:14" ht="13.5" hidden="1" outlineLevel="1" thickBot="1">
      <c r="A154" s="46">
        <v>37546</v>
      </c>
      <c r="B154" t="s">
        <v>247</v>
      </c>
      <c r="C154" s="131">
        <v>15.4</v>
      </c>
      <c r="D154" s="131"/>
      <c r="E154" s="131"/>
      <c r="F154" s="131"/>
      <c r="G154" s="131">
        <f>SUM(C154:F154)</f>
        <v>15.4</v>
      </c>
      <c r="N154" s="2"/>
    </row>
    <row r="155" spans="3:7" ht="13.5" hidden="1" outlineLevel="1" thickTop="1">
      <c r="C155" s="101">
        <f>SUM(C137:C154)</f>
        <v>4844.559999999999</v>
      </c>
      <c r="D155" s="101">
        <f>SUM(D137:D154)</f>
        <v>390</v>
      </c>
      <c r="E155" s="101">
        <f>SUM(E137:E154)</f>
        <v>0.03</v>
      </c>
      <c r="F155" s="101">
        <f>SUM(F137:F154)</f>
        <v>50.82</v>
      </c>
      <c r="G155" s="101">
        <f>SUM(G137:G154)</f>
        <v>5285.409999999999</v>
      </c>
    </row>
    <row r="156" spans="3:7" ht="12.75" collapsed="1">
      <c r="C156" s="8"/>
      <c r="D156" s="8"/>
      <c r="E156" s="8"/>
      <c r="F156" s="8"/>
      <c r="G156" s="8"/>
    </row>
    <row r="157" spans="1:14" ht="12.75">
      <c r="A157" s="4" t="s">
        <v>158</v>
      </c>
      <c r="B157" s="4" t="s">
        <v>80</v>
      </c>
      <c r="I157" s="4" t="str">
        <f>A157</f>
        <v>November</v>
      </c>
      <c r="J157" s="4" t="s">
        <v>81</v>
      </c>
      <c r="K157" s="7"/>
      <c r="L157" s="7"/>
      <c r="M157" s="7"/>
      <c r="N157" s="8"/>
    </row>
    <row r="158" spans="1:14" ht="25.5" hidden="1" outlineLevel="1">
      <c r="A158" s="1" t="s">
        <v>0</v>
      </c>
      <c r="B158" s="1" t="s">
        <v>1</v>
      </c>
      <c r="C158" s="3" t="s">
        <v>2</v>
      </c>
      <c r="D158" s="133" t="s">
        <v>17</v>
      </c>
      <c r="E158" s="3" t="s">
        <v>59</v>
      </c>
      <c r="F158" s="3" t="s">
        <v>3</v>
      </c>
      <c r="G158" s="3" t="s">
        <v>4</v>
      </c>
      <c r="I158" s="1" t="s">
        <v>0</v>
      </c>
      <c r="J158" s="1" t="s">
        <v>1</v>
      </c>
      <c r="K158" s="3" t="s">
        <v>12</v>
      </c>
      <c r="L158" s="3" t="s">
        <v>13</v>
      </c>
      <c r="M158" s="3" t="s">
        <v>14</v>
      </c>
      <c r="N158" s="3" t="s">
        <v>4</v>
      </c>
    </row>
    <row r="159" spans="2:14" ht="13.5" hidden="1" outlineLevel="1" thickBot="1">
      <c r="B159" t="s">
        <v>15</v>
      </c>
      <c r="C159" s="129">
        <f>N149</f>
        <v>3664.859999999999</v>
      </c>
      <c r="D159" s="129"/>
      <c r="E159" s="129"/>
      <c r="F159" s="129"/>
      <c r="G159" s="129">
        <f>SUM(C159:F159)</f>
        <v>3664.859999999999</v>
      </c>
      <c r="I159" s="139">
        <v>37565</v>
      </c>
      <c r="J159" s="7" t="s">
        <v>252</v>
      </c>
      <c r="K159" s="101"/>
      <c r="L159" s="101">
        <v>30</v>
      </c>
      <c r="M159" s="101"/>
      <c r="N159" s="101">
        <f>SUM(K159:M159)</f>
        <v>30</v>
      </c>
    </row>
    <row r="160" spans="1:14" ht="13.5" hidden="1" outlineLevel="1" thickTop="1">
      <c r="A160" s="46">
        <v>37560</v>
      </c>
      <c r="B160" t="s">
        <v>7</v>
      </c>
      <c r="C160" s="129"/>
      <c r="D160" s="129">
        <v>30</v>
      </c>
      <c r="E160" s="129"/>
      <c r="F160" s="129"/>
      <c r="G160" s="129">
        <f aca="true" t="shared" si="11" ref="G160:G170">SUM(C160:F160)</f>
        <v>30</v>
      </c>
      <c r="J160" s="86"/>
      <c r="K160" s="135">
        <f>SUM(K156:K158)</f>
        <v>0</v>
      </c>
      <c r="L160" s="135">
        <f>SUM(L159)</f>
        <v>30</v>
      </c>
      <c r="M160" s="135">
        <f>SUM(M159)</f>
        <v>0</v>
      </c>
      <c r="N160" s="135">
        <f>SUM(N159)</f>
        <v>30</v>
      </c>
    </row>
    <row r="161" spans="1:14" ht="13.5" hidden="1" outlineLevel="1" thickBot="1">
      <c r="A161" s="46">
        <v>37561</v>
      </c>
      <c r="B161" t="s">
        <v>5</v>
      </c>
      <c r="D161" s="129">
        <v>30</v>
      </c>
      <c r="E161" s="129"/>
      <c r="F161" s="134"/>
      <c r="G161" s="129">
        <f>SUM(B161:F161)</f>
        <v>30</v>
      </c>
      <c r="J161" t="s">
        <v>101</v>
      </c>
      <c r="K161" s="2">
        <f>G177</f>
        <v>4080.289999999999</v>
      </c>
      <c r="L161" s="2"/>
      <c r="M161" s="2"/>
      <c r="N161" s="131">
        <f>SUM(K161:M161)</f>
        <v>4080.289999999999</v>
      </c>
    </row>
    <row r="162" spans="2:14" ht="13.5" hidden="1" outlineLevel="1" thickTop="1">
      <c r="B162" t="s">
        <v>10</v>
      </c>
      <c r="C162" s="129"/>
      <c r="D162" s="129">
        <v>30</v>
      </c>
      <c r="E162" s="129"/>
      <c r="F162" s="129"/>
      <c r="G162" s="129">
        <f t="shared" si="11"/>
        <v>30</v>
      </c>
      <c r="K162" s="2"/>
      <c r="L162" s="2"/>
      <c r="M162" s="2"/>
      <c r="N162" s="129">
        <f>N161-N160</f>
        <v>4050.289999999999</v>
      </c>
    </row>
    <row r="163" spans="1:14" ht="12.75" hidden="1" outlineLevel="1">
      <c r="A163" s="46">
        <v>37565</v>
      </c>
      <c r="B163" t="s">
        <v>49</v>
      </c>
      <c r="D163" s="129">
        <v>30</v>
      </c>
      <c r="E163" s="129"/>
      <c r="F163" s="129"/>
      <c r="G163" s="129">
        <f>SUM(B163:F163)</f>
        <v>30</v>
      </c>
      <c r="K163" s="2"/>
      <c r="L163" s="2"/>
      <c r="M163" s="2"/>
      <c r="N163" s="122"/>
    </row>
    <row r="164" spans="1:14" ht="12.75" hidden="1" outlineLevel="1">
      <c r="A164" s="46"/>
      <c r="B164" t="s">
        <v>6</v>
      </c>
      <c r="C164" s="129"/>
      <c r="D164" s="129">
        <v>30</v>
      </c>
      <c r="E164" s="129"/>
      <c r="F164" s="129"/>
      <c r="G164" s="129">
        <f t="shared" si="11"/>
        <v>30</v>
      </c>
      <c r="N164" s="122"/>
    </row>
    <row r="165" spans="1:14" ht="12.75" hidden="1" outlineLevel="1">
      <c r="A165" s="46"/>
      <c r="B165" t="s">
        <v>53</v>
      </c>
      <c r="D165" s="129">
        <v>30</v>
      </c>
      <c r="E165" s="129"/>
      <c r="F165" s="129"/>
      <c r="G165" s="129">
        <f>SUM(C165:F165)</f>
        <v>30</v>
      </c>
      <c r="N165" s="122"/>
    </row>
    <row r="166" spans="2:14" ht="12.75" hidden="1" outlineLevel="1">
      <c r="B166" t="s">
        <v>9</v>
      </c>
      <c r="C166" s="129"/>
      <c r="D166" s="129">
        <v>30</v>
      </c>
      <c r="E166" s="129"/>
      <c r="F166" s="129"/>
      <c r="G166" s="129">
        <f t="shared" si="11"/>
        <v>30</v>
      </c>
      <c r="J166" s="10" t="s">
        <v>253</v>
      </c>
      <c r="K166" s="11"/>
      <c r="L166" s="11"/>
      <c r="M166" s="11"/>
      <c r="N166" s="146">
        <v>-662.19</v>
      </c>
    </row>
    <row r="167" spans="2:14" ht="12.75" hidden="1" outlineLevel="1">
      <c r="B167" t="s">
        <v>11</v>
      </c>
      <c r="C167" s="129"/>
      <c r="D167" s="129">
        <v>30</v>
      </c>
      <c r="E167" s="129"/>
      <c r="F167" s="129"/>
      <c r="G167" s="129">
        <f t="shared" si="11"/>
        <v>30</v>
      </c>
      <c r="J167" s="13" t="s">
        <v>18</v>
      </c>
      <c r="K167" s="7"/>
      <c r="L167" s="7"/>
      <c r="M167" s="7"/>
      <c r="N167" s="148">
        <f>'Lloyd TSB'!E163</f>
        <v>662.1899999999999</v>
      </c>
    </row>
    <row r="168" spans="2:14" ht="12.75" hidden="1" outlineLevel="1">
      <c r="B168" t="s">
        <v>50</v>
      </c>
      <c r="C168" s="129"/>
      <c r="D168" s="129">
        <v>30</v>
      </c>
      <c r="E168" s="129"/>
      <c r="F168" s="129"/>
      <c r="G168" s="129">
        <f t="shared" si="11"/>
        <v>30</v>
      </c>
      <c r="J168" s="13" t="s">
        <v>169</v>
      </c>
      <c r="K168" s="7"/>
      <c r="L168" s="7"/>
      <c r="M168" s="7"/>
      <c r="N168" s="148">
        <f>'Charles Schwab'!H54</f>
        <v>11.239999999999998</v>
      </c>
    </row>
    <row r="169" spans="1:14" ht="13.5" hidden="1" outlineLevel="1" thickBot="1">
      <c r="A169" s="46"/>
      <c r="B169" t="s">
        <v>56</v>
      </c>
      <c r="D169" s="129">
        <v>30</v>
      </c>
      <c r="E169" s="129"/>
      <c r="F169" s="129"/>
      <c r="G169" s="129">
        <f>SUM(C169:F169)</f>
        <v>30</v>
      </c>
      <c r="J169" s="13" t="s">
        <v>170</v>
      </c>
      <c r="K169" s="7"/>
      <c r="L169" s="7"/>
      <c r="M169" s="7"/>
      <c r="N169" s="246">
        <f>Comdirect!H65</f>
        <v>4039.0499999999993</v>
      </c>
    </row>
    <row r="170" spans="1:14" ht="13.5" hidden="1" outlineLevel="1" thickTop="1">
      <c r="A170" s="46"/>
      <c r="B170" t="s">
        <v>52</v>
      </c>
      <c r="C170" s="129"/>
      <c r="D170" s="129">
        <v>30</v>
      </c>
      <c r="E170" s="124"/>
      <c r="F170" s="129"/>
      <c r="G170" s="129">
        <f t="shared" si="11"/>
        <v>30</v>
      </c>
      <c r="J170" s="15"/>
      <c r="K170" s="9"/>
      <c r="L170" s="9"/>
      <c r="M170" s="9"/>
      <c r="N170" s="115">
        <f>N166+N167+N168+N169</f>
        <v>4050.289999999999</v>
      </c>
    </row>
    <row r="171" spans="1:14" ht="12.75" hidden="1" outlineLevel="1">
      <c r="A171" s="46">
        <v>37566</v>
      </c>
      <c r="B171" t="s">
        <v>54</v>
      </c>
      <c r="C171" s="129"/>
      <c r="D171" s="129">
        <v>30</v>
      </c>
      <c r="E171" s="129"/>
      <c r="F171" s="129"/>
      <c r="G171" s="129">
        <f aca="true" t="shared" si="12" ref="G171:G176">SUM(C171:F171)</f>
        <v>30</v>
      </c>
      <c r="J171" s="7"/>
      <c r="K171" s="7"/>
      <c r="L171" s="7"/>
      <c r="M171" s="7"/>
      <c r="N171" s="8"/>
    </row>
    <row r="172" spans="1:14" ht="12.75" hidden="1" outlineLevel="1">
      <c r="A172" s="46"/>
      <c r="B172" t="s">
        <v>8</v>
      </c>
      <c r="C172" s="129"/>
      <c r="D172" s="129">
        <v>30</v>
      </c>
      <c r="E172" s="129"/>
      <c r="F172" s="129"/>
      <c r="G172" s="129">
        <f>SUM(C172:F172)</f>
        <v>30</v>
      </c>
      <c r="J172" s="7"/>
      <c r="K172" s="7"/>
      <c r="L172" s="7"/>
      <c r="M172" s="7"/>
      <c r="N172" s="8"/>
    </row>
    <row r="173" spans="1:14" ht="12.75" hidden="1" outlineLevel="1">
      <c r="A173" s="46">
        <v>37570</v>
      </c>
      <c r="B173" t="s">
        <v>115</v>
      </c>
      <c r="C173" s="129"/>
      <c r="D173" s="129"/>
      <c r="E173" s="125">
        <v>0.05</v>
      </c>
      <c r="F173" s="129"/>
      <c r="G173" s="129">
        <f t="shared" si="12"/>
        <v>0.05</v>
      </c>
      <c r="J173" s="7"/>
      <c r="K173" s="7"/>
      <c r="L173" s="7"/>
      <c r="M173" s="7"/>
      <c r="N173" s="8"/>
    </row>
    <row r="174" spans="1:14" ht="12.75" hidden="1" outlineLevel="1">
      <c r="A174" s="46">
        <v>37572</v>
      </c>
      <c r="B174" t="s">
        <v>216</v>
      </c>
      <c r="C174" s="129"/>
      <c r="D174" s="129"/>
      <c r="E174" s="129"/>
      <c r="F174" s="129">
        <v>14.14</v>
      </c>
      <c r="G174" s="129">
        <f t="shared" si="12"/>
        <v>14.14</v>
      </c>
      <c r="J174" s="7"/>
      <c r="K174" s="7"/>
      <c r="L174" s="7"/>
      <c r="M174" s="7"/>
      <c r="N174" s="8"/>
    </row>
    <row r="175" spans="1:14" ht="12.75" hidden="1" outlineLevel="1">
      <c r="A175" s="46">
        <v>37589</v>
      </c>
      <c r="B175" t="s">
        <v>165</v>
      </c>
      <c r="C175" s="129"/>
      <c r="D175" s="129"/>
      <c r="E175" s="129"/>
      <c r="F175" s="129">
        <v>0.04</v>
      </c>
      <c r="G175" s="129">
        <f t="shared" si="12"/>
        <v>0.04</v>
      </c>
      <c r="J175" s="7"/>
      <c r="K175" s="7"/>
      <c r="L175" s="7"/>
      <c r="M175" s="7"/>
      <c r="N175" s="8"/>
    </row>
    <row r="176" spans="1:14" ht="13.5" hidden="1" outlineLevel="1" thickBot="1">
      <c r="A176" s="46">
        <v>37589</v>
      </c>
      <c r="B176" t="s">
        <v>208</v>
      </c>
      <c r="C176" s="6"/>
      <c r="D176" s="6"/>
      <c r="E176" s="6"/>
      <c r="F176" s="131">
        <v>11.2</v>
      </c>
      <c r="G176" s="131">
        <f t="shared" si="12"/>
        <v>11.2</v>
      </c>
      <c r="J176" s="7"/>
      <c r="K176" s="7"/>
      <c r="L176" s="7"/>
      <c r="M176" s="7"/>
      <c r="N176" s="8"/>
    </row>
    <row r="177" spans="3:7" ht="13.5" hidden="1" outlineLevel="1" thickTop="1">
      <c r="C177" s="101">
        <f>SUM(C159:C176)</f>
        <v>3664.859999999999</v>
      </c>
      <c r="D177" s="101">
        <f>SUM(D159:D176)</f>
        <v>390</v>
      </c>
      <c r="E177" s="101">
        <f>SUM(E159:E176)</f>
        <v>0.05</v>
      </c>
      <c r="F177" s="101">
        <f>SUM(F159:F176)</f>
        <v>25.38</v>
      </c>
      <c r="G177" s="101">
        <f>SUM(G159:G176)</f>
        <v>4080.289999999999</v>
      </c>
    </row>
    <row r="178" ht="12.75" collapsed="1"/>
    <row r="179" spans="1:14" ht="12.75">
      <c r="A179" s="4" t="s">
        <v>166</v>
      </c>
      <c r="B179" s="4" t="s">
        <v>80</v>
      </c>
      <c r="I179" s="4" t="str">
        <f>A179</f>
        <v>December</v>
      </c>
      <c r="J179" s="4" t="s">
        <v>81</v>
      </c>
      <c r="K179" s="7"/>
      <c r="L179" s="7"/>
      <c r="M179" s="7"/>
      <c r="N179" s="8"/>
    </row>
    <row r="180" spans="1:14" ht="25.5" hidden="1" outlineLevel="1">
      <c r="A180" s="1" t="s">
        <v>0</v>
      </c>
      <c r="B180" s="1" t="s">
        <v>1</v>
      </c>
      <c r="C180" s="3" t="s">
        <v>2</v>
      </c>
      <c r="D180" s="133" t="s">
        <v>17</v>
      </c>
      <c r="E180" s="3" t="s">
        <v>59</v>
      </c>
      <c r="F180" s="3" t="s">
        <v>3</v>
      </c>
      <c r="G180" s="3" t="s">
        <v>4</v>
      </c>
      <c r="I180" s="1" t="s">
        <v>0</v>
      </c>
      <c r="J180" s="1" t="s">
        <v>1</v>
      </c>
      <c r="K180" s="3" t="s">
        <v>12</v>
      </c>
      <c r="L180" s="3" t="s">
        <v>13</v>
      </c>
      <c r="M180" s="3" t="s">
        <v>14</v>
      </c>
      <c r="N180" s="3" t="s">
        <v>4</v>
      </c>
    </row>
    <row r="181" spans="2:14" ht="12.75" hidden="1" outlineLevel="1">
      <c r="B181" t="s">
        <v>15</v>
      </c>
      <c r="C181" s="129">
        <f>N170</f>
        <v>4050.289999999999</v>
      </c>
      <c r="D181" s="129"/>
      <c r="E181" s="129"/>
      <c r="F181" s="129"/>
      <c r="G181" s="129">
        <f>SUM(C181:F181)</f>
        <v>4050.289999999999</v>
      </c>
      <c r="I181" s="139">
        <v>37599</v>
      </c>
      <c r="J181" s="1" t="s">
        <v>240</v>
      </c>
      <c r="K181" s="133">
        <v>0.27</v>
      </c>
      <c r="L181" s="3"/>
      <c r="M181" s="3"/>
      <c r="N181" s="101">
        <f>SUM(K181:M181)</f>
        <v>0.27</v>
      </c>
    </row>
    <row r="182" spans="1:14" ht="13.5" hidden="1" outlineLevel="1" thickBot="1">
      <c r="A182" s="46">
        <v>37592</v>
      </c>
      <c r="B182" t="s">
        <v>5</v>
      </c>
      <c r="D182" s="129">
        <v>30</v>
      </c>
      <c r="E182" s="129"/>
      <c r="F182" s="129"/>
      <c r="G182" s="129">
        <f>SUM(B182:F182)</f>
        <v>30</v>
      </c>
      <c r="I182" s="46">
        <v>37596</v>
      </c>
      <c r="J182" s="1" t="s">
        <v>210</v>
      </c>
      <c r="K182" s="3"/>
      <c r="L182" s="3"/>
      <c r="M182" s="133">
        <v>267.13</v>
      </c>
      <c r="N182" s="133">
        <f>SUM(K182:M182)</f>
        <v>267.13</v>
      </c>
    </row>
    <row r="183" spans="1:14" ht="13.5" hidden="1" outlineLevel="1" thickTop="1">
      <c r="A183" s="46"/>
      <c r="B183" t="s">
        <v>10</v>
      </c>
      <c r="C183" s="129"/>
      <c r="D183" s="129">
        <v>30</v>
      </c>
      <c r="E183" s="129"/>
      <c r="F183" s="134"/>
      <c r="G183" s="129">
        <f aca="true" t="shared" si="13" ref="G183:G195">SUM(C183:F183)</f>
        <v>30</v>
      </c>
      <c r="J183" s="86"/>
      <c r="K183" s="87">
        <f>SUM(K181:K182)</f>
        <v>0.27</v>
      </c>
      <c r="L183" s="135">
        <f>SUM(L182:L182)</f>
        <v>0</v>
      </c>
      <c r="M183" s="135">
        <f>SUM(M182:M182)</f>
        <v>267.13</v>
      </c>
      <c r="N183" s="135">
        <f>SUM(N181:N182)</f>
        <v>267.4</v>
      </c>
    </row>
    <row r="184" spans="2:14" ht="13.5" hidden="1" outlineLevel="1" thickBot="1">
      <c r="B184" t="s">
        <v>7</v>
      </c>
      <c r="C184" s="129"/>
      <c r="D184" s="129">
        <v>30</v>
      </c>
      <c r="E184" s="129"/>
      <c r="F184" s="134"/>
      <c r="G184" s="129">
        <f t="shared" si="13"/>
        <v>30</v>
      </c>
      <c r="J184" t="s">
        <v>101</v>
      </c>
      <c r="K184" s="2">
        <f>G196</f>
        <v>4424.63</v>
      </c>
      <c r="L184" s="2"/>
      <c r="M184" s="2"/>
      <c r="N184" s="131">
        <f>SUM(K184:M184)</f>
        <v>4424.63</v>
      </c>
    </row>
    <row r="185" spans="2:14" ht="13.5" hidden="1" outlineLevel="1" thickTop="1">
      <c r="B185" t="s">
        <v>226</v>
      </c>
      <c r="F185" s="129">
        <v>13.97</v>
      </c>
      <c r="G185" s="129">
        <f>SUM(C185:F185)</f>
        <v>13.97</v>
      </c>
      <c r="K185" s="2"/>
      <c r="L185" s="2"/>
      <c r="M185" s="2"/>
      <c r="N185" s="129">
        <f>N184-N183</f>
        <v>4157.2300000000005</v>
      </c>
    </row>
    <row r="186" spans="1:13" ht="12.75" hidden="1" outlineLevel="1">
      <c r="A186" s="46">
        <v>37594</v>
      </c>
      <c r="B186" t="s">
        <v>49</v>
      </c>
      <c r="C186" s="129"/>
      <c r="D186" s="129">
        <v>30</v>
      </c>
      <c r="E186" s="129"/>
      <c r="F186" s="129"/>
      <c r="G186" s="129">
        <f t="shared" si="13"/>
        <v>30</v>
      </c>
      <c r="K186" s="2"/>
      <c r="L186" s="2"/>
      <c r="M186" s="2"/>
    </row>
    <row r="187" spans="2:7" ht="12.75" hidden="1" outlineLevel="1">
      <c r="B187" t="s">
        <v>6</v>
      </c>
      <c r="C187" s="129"/>
      <c r="D187" s="129">
        <v>30</v>
      </c>
      <c r="E187" s="129"/>
      <c r="F187" s="129"/>
      <c r="G187" s="129">
        <f t="shared" si="13"/>
        <v>30</v>
      </c>
    </row>
    <row r="188" spans="1:14" ht="12.75" hidden="1" outlineLevel="1">
      <c r="A188" s="46"/>
      <c r="B188" t="s">
        <v>9</v>
      </c>
      <c r="D188" s="129">
        <v>30</v>
      </c>
      <c r="E188" s="129"/>
      <c r="F188" s="129"/>
      <c r="G188" s="129">
        <f t="shared" si="13"/>
        <v>30</v>
      </c>
      <c r="J188" s="10" t="s">
        <v>253</v>
      </c>
      <c r="K188" s="11"/>
      <c r="L188" s="11"/>
      <c r="M188" s="11"/>
      <c r="N188" s="146">
        <v>-20</v>
      </c>
    </row>
    <row r="189" spans="2:14" ht="12.75" hidden="1" outlineLevel="1">
      <c r="B189" t="s">
        <v>11</v>
      </c>
      <c r="C189" s="129"/>
      <c r="D189" s="129">
        <v>30</v>
      </c>
      <c r="E189" s="129"/>
      <c r="F189" s="129"/>
      <c r="G189" s="129">
        <f t="shared" si="13"/>
        <v>30</v>
      </c>
      <c r="J189" s="13" t="s">
        <v>18</v>
      </c>
      <c r="K189" s="7"/>
      <c r="L189" s="7"/>
      <c r="M189" s="7"/>
      <c r="N189" s="148">
        <f>'Lloyd TSB'!E184</f>
        <v>4159.360000000001</v>
      </c>
    </row>
    <row r="190" spans="2:14" ht="12.75" hidden="1" outlineLevel="1">
      <c r="B190" t="s">
        <v>50</v>
      </c>
      <c r="C190" s="129"/>
      <c r="D190" s="129">
        <v>30</v>
      </c>
      <c r="E190" s="129"/>
      <c r="F190" s="129"/>
      <c r="G190" s="129">
        <f t="shared" si="13"/>
        <v>30</v>
      </c>
      <c r="J190" s="13" t="s">
        <v>169</v>
      </c>
      <c r="K190" s="7"/>
      <c r="L190" s="7"/>
      <c r="M190" s="7"/>
      <c r="N190" s="238">
        <f>'Charles Schwab'!H62</f>
        <v>17.870000000000005</v>
      </c>
    </row>
    <row r="191" spans="2:14" ht="13.5" hidden="1" outlineLevel="1" thickBot="1">
      <c r="B191" t="s">
        <v>56</v>
      </c>
      <c r="C191" s="129"/>
      <c r="D191" s="129">
        <v>30.27</v>
      </c>
      <c r="E191" s="129"/>
      <c r="F191" s="129"/>
      <c r="G191" s="129">
        <f t="shared" si="13"/>
        <v>30.27</v>
      </c>
      <c r="J191" s="13" t="s">
        <v>170</v>
      </c>
      <c r="K191" s="7"/>
      <c r="L191" s="7"/>
      <c r="M191" s="7"/>
      <c r="N191" s="250">
        <f>Comdirect!H72</f>
        <v>0</v>
      </c>
    </row>
    <row r="192" spans="1:14" ht="13.5" hidden="1" outlineLevel="1" thickTop="1">
      <c r="A192" s="46"/>
      <c r="B192" t="s">
        <v>52</v>
      </c>
      <c r="D192" s="129">
        <v>30</v>
      </c>
      <c r="E192" s="129"/>
      <c r="F192" s="129"/>
      <c r="G192" s="129">
        <f t="shared" si="13"/>
        <v>30</v>
      </c>
      <c r="J192" s="15"/>
      <c r="K192" s="9"/>
      <c r="L192" s="9"/>
      <c r="M192" s="9"/>
      <c r="N192" s="115">
        <f>SUM(N188:N191)</f>
        <v>4157.2300000000005</v>
      </c>
    </row>
    <row r="193" spans="1:14" ht="12.75" hidden="1" outlineLevel="1">
      <c r="A193" s="46">
        <v>37595</v>
      </c>
      <c r="B193" t="s">
        <v>54</v>
      </c>
      <c r="C193" s="129"/>
      <c r="D193" s="129">
        <v>30</v>
      </c>
      <c r="E193" s="124"/>
      <c r="F193" s="129"/>
      <c r="G193" s="129">
        <f t="shared" si="13"/>
        <v>30</v>
      </c>
      <c r="J193" s="7"/>
      <c r="K193" s="7"/>
      <c r="L193" s="7"/>
      <c r="M193" s="7"/>
      <c r="N193" s="8"/>
    </row>
    <row r="194" spans="2:7" ht="12.75" hidden="1" outlineLevel="1">
      <c r="B194" t="s">
        <v>8</v>
      </c>
      <c r="C194" s="129"/>
      <c r="D194" s="129">
        <v>30</v>
      </c>
      <c r="E194" s="129"/>
      <c r="F194" s="129"/>
      <c r="G194" s="129">
        <f t="shared" si="13"/>
        <v>30</v>
      </c>
    </row>
    <row r="195" spans="1:14" ht="13.5" hidden="1" outlineLevel="1" thickBot="1">
      <c r="A195" s="46">
        <v>37600</v>
      </c>
      <c r="B195" t="s">
        <v>115</v>
      </c>
      <c r="C195" s="131"/>
      <c r="D195" s="131"/>
      <c r="E195" s="131">
        <v>0.1</v>
      </c>
      <c r="F195" s="131"/>
      <c r="G195" s="131">
        <f t="shared" si="13"/>
        <v>0.1</v>
      </c>
      <c r="J195" s="7"/>
      <c r="K195" s="7"/>
      <c r="L195" s="7"/>
      <c r="M195" s="7"/>
      <c r="N195" s="8"/>
    </row>
    <row r="196" spans="3:7" ht="13.5" hidden="1" outlineLevel="1" thickTop="1">
      <c r="C196" s="101">
        <f>SUM(C181:C195)</f>
        <v>4050.289999999999</v>
      </c>
      <c r="D196" s="101">
        <f>SUM(D181:D195)</f>
        <v>360.27</v>
      </c>
      <c r="E196" s="101">
        <f>SUM(E181:E195)</f>
        <v>0.1</v>
      </c>
      <c r="F196" s="101">
        <f>SUM(F181:F195)</f>
        <v>13.97</v>
      </c>
      <c r="G196" s="101">
        <f>SUM(G181:G195)</f>
        <v>4424.63</v>
      </c>
    </row>
    <row r="197" ht="12.75" collapsed="1"/>
    <row r="198" spans="1:14" ht="12.75">
      <c r="A198" s="4" t="s">
        <v>173</v>
      </c>
      <c r="B198" s="4" t="s">
        <v>80</v>
      </c>
      <c r="I198" s="4" t="str">
        <f>A198</f>
        <v>January</v>
      </c>
      <c r="J198" s="4" t="s">
        <v>81</v>
      </c>
      <c r="K198" s="7"/>
      <c r="L198" s="7"/>
      <c r="M198" s="7"/>
      <c r="N198" s="8"/>
    </row>
    <row r="199" spans="1:14" ht="25.5" hidden="1" outlineLevel="1">
      <c r="A199" s="1" t="s">
        <v>0</v>
      </c>
      <c r="B199" s="1" t="s">
        <v>1</v>
      </c>
      <c r="C199" s="3" t="s">
        <v>2</v>
      </c>
      <c r="D199" s="133" t="s">
        <v>17</v>
      </c>
      <c r="E199" s="3" t="s">
        <v>59</v>
      </c>
      <c r="F199" s="3" t="s">
        <v>3</v>
      </c>
      <c r="G199" s="3" t="s">
        <v>4</v>
      </c>
      <c r="I199" s="1" t="s">
        <v>0</v>
      </c>
      <c r="J199" s="1" t="s">
        <v>1</v>
      </c>
      <c r="K199" s="3" t="s">
        <v>12</v>
      </c>
      <c r="L199" s="3" t="s">
        <v>13</v>
      </c>
      <c r="M199" s="3" t="s">
        <v>14</v>
      </c>
      <c r="N199" s="3" t="s">
        <v>4</v>
      </c>
    </row>
    <row r="200" spans="2:14" ht="13.5" hidden="1" outlineLevel="1" thickBot="1">
      <c r="B200" t="s">
        <v>15</v>
      </c>
      <c r="C200" s="129">
        <f>N192</f>
        <v>4157.2300000000005</v>
      </c>
      <c r="D200" s="129"/>
      <c r="E200" s="129"/>
      <c r="F200" s="129"/>
      <c r="G200" s="129">
        <f aca="true" t="shared" si="14" ref="G200:G213">SUM(C200:F200)</f>
        <v>4157.2300000000005</v>
      </c>
      <c r="I200" s="46">
        <v>37642</v>
      </c>
      <c r="J200" s="1" t="s">
        <v>159</v>
      </c>
      <c r="K200" s="3"/>
      <c r="L200" s="3"/>
      <c r="M200" s="133">
        <v>999.86</v>
      </c>
      <c r="N200" s="133">
        <f>SUM(K200:M200)</f>
        <v>999.86</v>
      </c>
    </row>
    <row r="201" spans="1:14" ht="13.5" hidden="1" outlineLevel="1" thickTop="1">
      <c r="A201" s="46">
        <v>37623</v>
      </c>
      <c r="B201" t="s">
        <v>5</v>
      </c>
      <c r="C201" s="129"/>
      <c r="D201" s="129">
        <v>30</v>
      </c>
      <c r="E201" s="129"/>
      <c r="F201" s="134"/>
      <c r="G201" s="129">
        <f t="shared" si="14"/>
        <v>30</v>
      </c>
      <c r="J201" s="86"/>
      <c r="K201" s="87">
        <f>SUM(K197:K199)</f>
        <v>0</v>
      </c>
      <c r="L201" s="135">
        <f>SUM(L200:L200)</f>
        <v>0</v>
      </c>
      <c r="M201" s="135">
        <f>SUM(M200:M200)</f>
        <v>999.86</v>
      </c>
      <c r="N201" s="135">
        <f>SUM(N200:N200)</f>
        <v>999.86</v>
      </c>
    </row>
    <row r="202" spans="2:14" ht="13.5" hidden="1" outlineLevel="1" thickBot="1">
      <c r="B202" t="s">
        <v>10</v>
      </c>
      <c r="D202" s="129">
        <v>30</v>
      </c>
      <c r="E202" s="129"/>
      <c r="F202" s="134"/>
      <c r="G202" s="129">
        <f>SUM(C202:F202)</f>
        <v>30</v>
      </c>
      <c r="J202" t="s">
        <v>101</v>
      </c>
      <c r="K202" s="2">
        <f>G215</f>
        <v>4551.67</v>
      </c>
      <c r="L202" s="2"/>
      <c r="M202" s="2"/>
      <c r="N202" s="131">
        <f>SUM(K202:M202)</f>
        <v>4551.67</v>
      </c>
    </row>
    <row r="203" spans="2:14" ht="13.5" hidden="1" outlineLevel="1" thickTop="1">
      <c r="B203" t="s">
        <v>7</v>
      </c>
      <c r="C203" s="129"/>
      <c r="D203" s="129">
        <v>30</v>
      </c>
      <c r="E203" s="129"/>
      <c r="F203" s="129"/>
      <c r="G203" s="129">
        <f t="shared" si="14"/>
        <v>30</v>
      </c>
      <c r="K203" s="2"/>
      <c r="L203" s="2"/>
      <c r="M203" s="2"/>
      <c r="N203" s="129">
        <f>N202-N201</f>
        <v>3551.81</v>
      </c>
    </row>
    <row r="204" spans="1:13" ht="11.25" customHeight="1" hidden="1" outlineLevel="1">
      <c r="A204" s="46">
        <v>37627</v>
      </c>
      <c r="B204" t="s">
        <v>49</v>
      </c>
      <c r="C204" s="129"/>
      <c r="D204" s="129">
        <v>30</v>
      </c>
      <c r="E204" s="129"/>
      <c r="F204" s="129"/>
      <c r="G204" s="129">
        <v>30</v>
      </c>
      <c r="K204" s="2"/>
      <c r="L204" s="2"/>
      <c r="M204" s="2"/>
    </row>
    <row r="205" spans="2:7" ht="12.75" hidden="1" outlineLevel="1">
      <c r="B205" t="s">
        <v>6</v>
      </c>
      <c r="C205" s="129"/>
      <c r="D205" s="129">
        <v>30</v>
      </c>
      <c r="E205" s="129"/>
      <c r="F205" s="129"/>
      <c r="G205" s="129">
        <f t="shared" si="14"/>
        <v>30</v>
      </c>
    </row>
    <row r="206" spans="1:7" ht="12.75" hidden="1" outlineLevel="1">
      <c r="A206" s="46"/>
      <c r="B206" t="s">
        <v>9</v>
      </c>
      <c r="D206" s="129">
        <v>30</v>
      </c>
      <c r="E206" s="129"/>
      <c r="F206" s="129"/>
      <c r="G206" s="129">
        <f t="shared" si="14"/>
        <v>30</v>
      </c>
    </row>
    <row r="207" spans="1:14" ht="12.75" hidden="1" outlineLevel="1">
      <c r="A207" s="46"/>
      <c r="B207" t="s">
        <v>11</v>
      </c>
      <c r="C207" s="129"/>
      <c r="D207" s="129">
        <v>30</v>
      </c>
      <c r="E207" s="129"/>
      <c r="F207" s="129"/>
      <c r="G207" s="129">
        <f t="shared" si="14"/>
        <v>30</v>
      </c>
      <c r="J207" s="7"/>
      <c r="K207" s="7"/>
      <c r="L207" s="7"/>
      <c r="M207" s="7"/>
      <c r="N207" s="8"/>
    </row>
    <row r="208" spans="2:14" ht="12.75" hidden="1" outlineLevel="1">
      <c r="B208" t="s">
        <v>50</v>
      </c>
      <c r="C208" s="129"/>
      <c r="D208" s="129">
        <v>30</v>
      </c>
      <c r="E208" s="129"/>
      <c r="F208" s="129"/>
      <c r="G208" s="129">
        <f t="shared" si="14"/>
        <v>30</v>
      </c>
      <c r="J208" s="10" t="s">
        <v>18</v>
      </c>
      <c r="K208" s="11"/>
      <c r="L208" s="11"/>
      <c r="M208" s="11"/>
      <c r="N208" s="144">
        <f>'Lloyd TSB'!E206</f>
        <v>2551.81</v>
      </c>
    </row>
    <row r="209" spans="2:14" ht="12.75" hidden="1" outlineLevel="1">
      <c r="B209" t="s">
        <v>56</v>
      </c>
      <c r="C209" s="129"/>
      <c r="D209" s="129">
        <v>30</v>
      </c>
      <c r="E209" s="129"/>
      <c r="F209" s="129"/>
      <c r="G209" s="129">
        <f t="shared" si="14"/>
        <v>30</v>
      </c>
      <c r="J209" s="13" t="s">
        <v>169</v>
      </c>
      <c r="K209" s="7"/>
      <c r="L209" s="7"/>
      <c r="M209" s="7"/>
      <c r="N209" s="218">
        <f>'Charles Schwab'!H68</f>
        <v>0</v>
      </c>
    </row>
    <row r="210" spans="2:14" ht="13.5" hidden="1" outlineLevel="1" thickBot="1">
      <c r="B210" t="s">
        <v>52</v>
      </c>
      <c r="C210" s="129"/>
      <c r="D210" s="129">
        <v>30</v>
      </c>
      <c r="E210" s="129"/>
      <c r="F210" s="129"/>
      <c r="G210" s="129">
        <f t="shared" si="14"/>
        <v>30</v>
      </c>
      <c r="J210" s="13" t="s">
        <v>170</v>
      </c>
      <c r="K210" s="7"/>
      <c r="L210" s="7"/>
      <c r="M210" s="7"/>
      <c r="N210" s="219">
        <f>Comdirect!H80</f>
        <v>1000</v>
      </c>
    </row>
    <row r="211" spans="1:14" ht="13.5" hidden="1" outlineLevel="1" thickTop="1">
      <c r="A211" s="46">
        <v>37628</v>
      </c>
      <c r="B211" t="s">
        <v>54</v>
      </c>
      <c r="D211" s="129">
        <v>30</v>
      </c>
      <c r="E211" s="129"/>
      <c r="F211" s="129"/>
      <c r="G211" s="129">
        <f>SUM(B211:F211)</f>
        <v>30</v>
      </c>
      <c r="J211" s="15"/>
      <c r="K211" s="9"/>
      <c r="L211" s="9"/>
      <c r="M211" s="9"/>
      <c r="N211" s="65">
        <f>SUM(N208:N210)</f>
        <v>3551.81</v>
      </c>
    </row>
    <row r="212" spans="1:14" ht="12.75" hidden="1" outlineLevel="1">
      <c r="A212" s="46"/>
      <c r="B212" t="s">
        <v>8</v>
      </c>
      <c r="C212" s="129"/>
      <c r="D212" s="129">
        <v>30</v>
      </c>
      <c r="E212" s="124"/>
      <c r="F212" s="129"/>
      <c r="G212" s="129">
        <f t="shared" si="14"/>
        <v>30</v>
      </c>
      <c r="J212" s="7"/>
      <c r="K212" s="7"/>
      <c r="L212" s="7"/>
      <c r="M212" s="7"/>
      <c r="N212" s="8"/>
    </row>
    <row r="213" spans="1:7" ht="12.75" hidden="1" outlineLevel="1">
      <c r="A213" s="46">
        <v>37631</v>
      </c>
      <c r="B213" t="s">
        <v>115</v>
      </c>
      <c r="C213" s="101"/>
      <c r="D213" s="101"/>
      <c r="E213" s="97">
        <v>4.44</v>
      </c>
      <c r="F213" s="101"/>
      <c r="G213" s="101">
        <f t="shared" si="14"/>
        <v>4.44</v>
      </c>
    </row>
    <row r="214" spans="1:7" ht="13.5" hidden="1" outlineLevel="1" thickBot="1">
      <c r="A214" s="46">
        <v>37651</v>
      </c>
      <c r="B214" t="s">
        <v>7</v>
      </c>
      <c r="C214" s="131"/>
      <c r="D214" s="131">
        <v>30</v>
      </c>
      <c r="E214" s="131"/>
      <c r="F214" s="131"/>
      <c r="G214" s="131">
        <f>SUM(C214:F214)</f>
        <v>30</v>
      </c>
    </row>
    <row r="215" spans="3:7" ht="13.5" hidden="1" outlineLevel="1" thickTop="1">
      <c r="C215" s="101">
        <f>SUM(C200:C214)</f>
        <v>4157.2300000000005</v>
      </c>
      <c r="D215" s="101">
        <f>SUM(D200:D214)</f>
        <v>390</v>
      </c>
      <c r="E215" s="101">
        <f>SUM(E200:E214)</f>
        <v>4.44</v>
      </c>
      <c r="F215" s="101">
        <f>SUM(F200:F214)</f>
        <v>0</v>
      </c>
      <c r="G215" s="101">
        <f>SUM(G200:G214)</f>
        <v>4551.67</v>
      </c>
    </row>
    <row r="216" ht="12.75" collapsed="1"/>
    <row r="217" spans="1:14" ht="12.75">
      <c r="A217" s="4" t="s">
        <v>176</v>
      </c>
      <c r="B217" s="4" t="s">
        <v>80</v>
      </c>
      <c r="I217" s="4" t="str">
        <f>A217</f>
        <v>February</v>
      </c>
      <c r="J217" s="4" t="s">
        <v>81</v>
      </c>
      <c r="K217" s="7"/>
      <c r="L217" s="7"/>
      <c r="M217" s="7"/>
      <c r="N217" s="8"/>
    </row>
    <row r="218" spans="1:14" ht="25.5" hidden="1" outlineLevel="1">
      <c r="A218" s="1" t="s">
        <v>0</v>
      </c>
      <c r="B218" s="1" t="s">
        <v>1</v>
      </c>
      <c r="C218" s="3" t="s">
        <v>2</v>
      </c>
      <c r="D218" s="133" t="s">
        <v>17</v>
      </c>
      <c r="E218" s="3" t="s">
        <v>59</v>
      </c>
      <c r="F218" s="3" t="s">
        <v>3</v>
      </c>
      <c r="G218" s="3" t="s">
        <v>4</v>
      </c>
      <c r="I218" s="1" t="s">
        <v>0</v>
      </c>
      <c r="J218" s="1" t="s">
        <v>1</v>
      </c>
      <c r="K218" s="3" t="s">
        <v>12</v>
      </c>
      <c r="L218" s="3" t="s">
        <v>13</v>
      </c>
      <c r="M218" s="3" t="s">
        <v>14</v>
      </c>
      <c r="N218" s="3" t="s">
        <v>4</v>
      </c>
    </row>
    <row r="219" spans="2:14" ht="13.5" hidden="1" outlineLevel="1" thickBot="1">
      <c r="B219" t="s">
        <v>15</v>
      </c>
      <c r="C219" s="129">
        <f>N211</f>
        <v>3551.81</v>
      </c>
      <c r="D219" s="129"/>
      <c r="E219" s="129"/>
      <c r="F219" s="129"/>
      <c r="G219" s="129">
        <f>SUM(C219:F219)</f>
        <v>3551.81</v>
      </c>
      <c r="I219" s="159">
        <v>37665</v>
      </c>
      <c r="J219" s="83" t="s">
        <v>270</v>
      </c>
      <c r="K219" s="214"/>
      <c r="M219" s="134">
        <v>499.98</v>
      </c>
      <c r="N219" s="133">
        <f>SUM(K219:M219)</f>
        <v>499.98</v>
      </c>
    </row>
    <row r="220" spans="1:14" ht="13.5" hidden="1" outlineLevel="1" thickTop="1">
      <c r="A220" s="46">
        <v>37655</v>
      </c>
      <c r="B220" t="s">
        <v>5</v>
      </c>
      <c r="C220" s="129"/>
      <c r="D220" s="129">
        <v>30</v>
      </c>
      <c r="E220" s="129"/>
      <c r="F220" s="134"/>
      <c r="G220" s="129">
        <f>SUM(C220:F220)</f>
        <v>30</v>
      </c>
      <c r="J220" s="86"/>
      <c r="K220" s="87">
        <f>SUM(K213:K218)</f>
        <v>0</v>
      </c>
      <c r="L220" s="87">
        <f>SUM(L213:L218)</f>
        <v>0</v>
      </c>
      <c r="M220" s="135">
        <f>SUM(M219:M219)</f>
        <v>499.98</v>
      </c>
      <c r="N220" s="135">
        <f>SUM(N219:N219)</f>
        <v>499.98</v>
      </c>
    </row>
    <row r="221" spans="2:14" ht="13.5" hidden="1" outlineLevel="1" thickBot="1">
      <c r="B221" t="s">
        <v>10</v>
      </c>
      <c r="C221" s="129"/>
      <c r="D221" s="129">
        <v>30</v>
      </c>
      <c r="E221" s="129"/>
      <c r="F221" s="134"/>
      <c r="G221" s="129">
        <f>SUM(C221:F221)</f>
        <v>30</v>
      </c>
      <c r="J221" t="s">
        <v>101</v>
      </c>
      <c r="K221" s="2">
        <f>G235</f>
        <v>4544.709999999999</v>
      </c>
      <c r="L221" s="2"/>
      <c r="M221" s="2"/>
      <c r="N221" s="131">
        <f>SUM(K221:M221)</f>
        <v>4544.709999999999</v>
      </c>
    </row>
    <row r="222" spans="1:14" ht="13.5" hidden="1" outlineLevel="1" thickTop="1">
      <c r="A222" s="46">
        <v>37657</v>
      </c>
      <c r="B222" t="s">
        <v>49</v>
      </c>
      <c r="D222" s="129">
        <v>30</v>
      </c>
      <c r="E222" s="129"/>
      <c r="F222" s="134"/>
      <c r="G222" s="129">
        <f>SUM(C222:F222)</f>
        <v>30</v>
      </c>
      <c r="K222" s="2"/>
      <c r="L222" s="2"/>
      <c r="M222" s="2"/>
      <c r="N222" s="129">
        <f>N221-N220</f>
        <v>4044.729999999999</v>
      </c>
    </row>
    <row r="223" spans="2:13" ht="12.75" hidden="1" outlineLevel="1">
      <c r="B223" t="s">
        <v>6</v>
      </c>
      <c r="C223" s="129"/>
      <c r="D223" s="129">
        <v>30</v>
      </c>
      <c r="E223" s="129"/>
      <c r="F223" s="129"/>
      <c r="G223" s="129">
        <f>SUM(C223:F223)</f>
        <v>30</v>
      </c>
      <c r="K223" s="2"/>
      <c r="L223" s="2"/>
      <c r="M223" s="2"/>
    </row>
    <row r="224" spans="1:7" ht="12.75" hidden="1" outlineLevel="1">
      <c r="A224" s="46"/>
      <c r="B224" t="s">
        <v>9</v>
      </c>
      <c r="D224" s="129">
        <v>30</v>
      </c>
      <c r="E224" s="129"/>
      <c r="F224" s="129"/>
      <c r="G224" s="129">
        <v>30</v>
      </c>
    </row>
    <row r="225" spans="2:7" ht="12.75" hidden="1" outlineLevel="1">
      <c r="B225" t="s">
        <v>11</v>
      </c>
      <c r="C225" s="129"/>
      <c r="D225" s="129">
        <v>30</v>
      </c>
      <c r="E225" s="129"/>
      <c r="F225" s="129"/>
      <c r="G225" s="129">
        <f aca="true" t="shared" si="15" ref="G225:G230">SUM(C225:F225)</f>
        <v>30</v>
      </c>
    </row>
    <row r="226" spans="1:14" ht="12.75" hidden="1" outlineLevel="1">
      <c r="A226" s="46"/>
      <c r="B226" t="s">
        <v>50</v>
      </c>
      <c r="D226" s="129">
        <v>30</v>
      </c>
      <c r="E226" s="129"/>
      <c r="F226" s="129"/>
      <c r="G226" s="129">
        <f t="shared" si="15"/>
        <v>30</v>
      </c>
      <c r="J226" s="7"/>
      <c r="K226" s="7"/>
      <c r="L226" s="7"/>
      <c r="M226" s="7"/>
      <c r="N226" s="8"/>
    </row>
    <row r="227" spans="1:14" ht="12.75" hidden="1" outlineLevel="1">
      <c r="A227" s="46"/>
      <c r="B227" t="s">
        <v>54</v>
      </c>
      <c r="C227" s="129"/>
      <c r="D227" s="129">
        <v>30</v>
      </c>
      <c r="E227" s="129"/>
      <c r="F227" s="129"/>
      <c r="G227" s="129">
        <f t="shared" si="15"/>
        <v>30</v>
      </c>
      <c r="J227" s="10" t="s">
        <v>18</v>
      </c>
      <c r="K227" s="11"/>
      <c r="L227" s="11"/>
      <c r="M227" s="11"/>
      <c r="N227" s="144">
        <f>'Lloyd TSB'!E223</f>
        <v>2385.24</v>
      </c>
    </row>
    <row r="228" spans="2:14" ht="12.75" hidden="1" outlineLevel="1">
      <c r="B228" t="s">
        <v>56</v>
      </c>
      <c r="C228" s="129"/>
      <c r="D228" s="129">
        <v>30</v>
      </c>
      <c r="E228" s="129"/>
      <c r="F228" s="129"/>
      <c r="G228" s="129">
        <f t="shared" si="15"/>
        <v>30</v>
      </c>
      <c r="J228" s="13" t="s">
        <v>169</v>
      </c>
      <c r="K228" s="7"/>
      <c r="L228" s="7"/>
      <c r="M228" s="7"/>
      <c r="N228" s="218">
        <f>'Charles Schwab'!H76</f>
        <v>639.8199999999999</v>
      </c>
    </row>
    <row r="229" spans="2:14" ht="13.5" hidden="1" outlineLevel="1" thickBot="1">
      <c r="B229" t="s">
        <v>52</v>
      </c>
      <c r="C229" s="129"/>
      <c r="D229" s="129">
        <v>30</v>
      </c>
      <c r="E229" s="129"/>
      <c r="F229" s="129"/>
      <c r="G229" s="129">
        <f t="shared" si="15"/>
        <v>30</v>
      </c>
      <c r="J229" s="13" t="s">
        <v>170</v>
      </c>
      <c r="K229" s="7"/>
      <c r="L229" s="7"/>
      <c r="M229" s="7"/>
      <c r="N229" s="219">
        <f>Comdirect!H88</f>
        <v>1019.67</v>
      </c>
    </row>
    <row r="230" spans="1:14" ht="13.5" hidden="1" outlineLevel="1" thickTop="1">
      <c r="A230" s="46">
        <v>37658</v>
      </c>
      <c r="B230" t="s">
        <v>8</v>
      </c>
      <c r="C230" s="129"/>
      <c r="D230" s="129">
        <v>30</v>
      </c>
      <c r="E230" s="129"/>
      <c r="F230" s="129"/>
      <c r="G230" s="129">
        <f t="shared" si="15"/>
        <v>30</v>
      </c>
      <c r="J230" s="15"/>
      <c r="K230" s="9"/>
      <c r="L230" s="9"/>
      <c r="M230" s="9"/>
      <c r="N230" s="65">
        <f>SUM(N227:N229)</f>
        <v>4044.7299999999996</v>
      </c>
    </row>
    <row r="231" spans="1:14" ht="12.75" hidden="1" outlineLevel="1">
      <c r="A231" s="46">
        <v>37663</v>
      </c>
      <c r="B231" t="s">
        <v>115</v>
      </c>
      <c r="C231" s="129"/>
      <c r="D231" s="129"/>
      <c r="E231" s="125">
        <v>3.43</v>
      </c>
      <c r="F231" s="129"/>
      <c r="G231" s="129">
        <f>SUM(E231:F231)</f>
        <v>3.43</v>
      </c>
      <c r="J231" s="7"/>
      <c r="K231" s="7"/>
      <c r="L231" s="7"/>
      <c r="M231" s="7"/>
      <c r="N231" s="8"/>
    </row>
    <row r="232" spans="1:14" ht="12.75" hidden="1" outlineLevel="1">
      <c r="A232" s="46">
        <v>37676</v>
      </c>
      <c r="B232" t="s">
        <v>151</v>
      </c>
      <c r="C232" s="98">
        <v>220.46</v>
      </c>
      <c r="D232" s="101"/>
      <c r="E232" s="97"/>
      <c r="F232" s="101"/>
      <c r="G232" s="101">
        <f>SUM(C232:F232)</f>
        <v>220.46</v>
      </c>
      <c r="N232" s="2"/>
    </row>
    <row r="233" spans="1:7" ht="12.75" hidden="1" outlineLevel="1">
      <c r="A233" s="46">
        <v>37676</v>
      </c>
      <c r="B233" t="s">
        <v>94</v>
      </c>
      <c r="C233" s="98">
        <v>399.32</v>
      </c>
      <c r="D233" s="101"/>
      <c r="E233" s="97"/>
      <c r="F233" s="101"/>
      <c r="G233" s="101">
        <f>SUM(C233:F233)</f>
        <v>399.32</v>
      </c>
    </row>
    <row r="234" spans="1:7" ht="13.5" hidden="1" outlineLevel="1" thickBot="1">
      <c r="A234" s="46">
        <v>37680</v>
      </c>
      <c r="B234" t="s">
        <v>192</v>
      </c>
      <c r="C234" s="165"/>
      <c r="D234" s="131"/>
      <c r="E234" s="162"/>
      <c r="F234" s="131">
        <f>19.65+20.04</f>
        <v>39.69</v>
      </c>
      <c r="G234" s="131">
        <f>SUM(C234:F234)</f>
        <v>39.69</v>
      </c>
    </row>
    <row r="235" spans="3:7" ht="13.5" hidden="1" outlineLevel="1" thickTop="1">
      <c r="C235" s="101">
        <f>SUM(C219:C234)</f>
        <v>4171.59</v>
      </c>
      <c r="D235" s="101">
        <f>SUM(D219:D234)</f>
        <v>330</v>
      </c>
      <c r="E235" s="101">
        <f>SUM(E219:E234)</f>
        <v>3.43</v>
      </c>
      <c r="F235" s="101">
        <f>SUM(F219:F234)</f>
        <v>39.69</v>
      </c>
      <c r="G235" s="101">
        <f>SUM(G219:G234)</f>
        <v>4544.709999999999</v>
      </c>
    </row>
    <row r="236" ht="12.75" collapsed="1"/>
    <row r="237" spans="1:14" ht="12.75">
      <c r="A237" s="4" t="s">
        <v>181</v>
      </c>
      <c r="B237" s="4" t="s">
        <v>80</v>
      </c>
      <c r="I237" s="4" t="str">
        <f>A237</f>
        <v>March</v>
      </c>
      <c r="J237" s="4" t="s">
        <v>81</v>
      </c>
      <c r="K237" s="7"/>
      <c r="L237" s="7"/>
      <c r="M237" s="7"/>
      <c r="N237" s="8"/>
    </row>
    <row r="238" spans="1:14" ht="25.5" hidden="1" outlineLevel="1">
      <c r="A238" s="1" t="s">
        <v>0</v>
      </c>
      <c r="B238" s="1" t="s">
        <v>1</v>
      </c>
      <c r="C238" s="3" t="s">
        <v>2</v>
      </c>
      <c r="D238" s="133" t="s">
        <v>17</v>
      </c>
      <c r="E238" s="3" t="s">
        <v>59</v>
      </c>
      <c r="F238" s="3" t="s">
        <v>3</v>
      </c>
      <c r="G238" s="3" t="s">
        <v>4</v>
      </c>
      <c r="I238" s="1" t="s">
        <v>0</v>
      </c>
      <c r="J238" s="1" t="s">
        <v>1</v>
      </c>
      <c r="K238" s="3" t="s">
        <v>12</v>
      </c>
      <c r="L238" s="3" t="s">
        <v>13</v>
      </c>
      <c r="M238" s="3" t="s">
        <v>14</v>
      </c>
      <c r="N238" s="3" t="s">
        <v>4</v>
      </c>
    </row>
    <row r="239" spans="2:14" ht="12.75" hidden="1" outlineLevel="1">
      <c r="B239" t="s">
        <v>15</v>
      </c>
      <c r="C239" s="129">
        <f>N230</f>
        <v>4044.7299999999996</v>
      </c>
      <c r="D239" s="129"/>
      <c r="E239" s="129"/>
      <c r="F239" s="129"/>
      <c r="G239" s="129">
        <f aca="true" t="shared" si="16" ref="G239:G246">SUM(C239:F239)</f>
        <v>4044.7299999999996</v>
      </c>
      <c r="I239" s="159">
        <v>37685</v>
      </c>
      <c r="J239" s="83" t="s">
        <v>274</v>
      </c>
      <c r="K239" s="214"/>
      <c r="M239" s="134">
        <v>499.08</v>
      </c>
      <c r="N239" s="133">
        <f>SUM(K239:M239)</f>
        <v>499.08</v>
      </c>
    </row>
    <row r="240" spans="1:14" ht="12.75" hidden="1" outlineLevel="1">
      <c r="A240" s="46">
        <v>37683</v>
      </c>
      <c r="B240" t="s">
        <v>5</v>
      </c>
      <c r="C240" s="129"/>
      <c r="D240" s="129">
        <v>30</v>
      </c>
      <c r="E240" s="129"/>
      <c r="F240" s="134"/>
      <c r="G240" s="129">
        <f t="shared" si="16"/>
        <v>30</v>
      </c>
      <c r="I240" s="159"/>
      <c r="J240" s="91" t="s">
        <v>61</v>
      </c>
      <c r="K240" s="214"/>
      <c r="M240" s="98">
        <v>998.36</v>
      </c>
      <c r="N240" s="133">
        <f>SUM(K240:M240)</f>
        <v>998.36</v>
      </c>
    </row>
    <row r="241" spans="1:14" ht="12.75" hidden="1" outlineLevel="1">
      <c r="A241" s="46"/>
      <c r="B241" t="s">
        <v>10</v>
      </c>
      <c r="C241" s="129"/>
      <c r="D241" s="129">
        <v>30</v>
      </c>
      <c r="E241" s="129"/>
      <c r="F241" s="134"/>
      <c r="G241" s="129">
        <f t="shared" si="16"/>
        <v>30</v>
      </c>
      <c r="I241" s="159"/>
      <c r="J241" s="91" t="s">
        <v>193</v>
      </c>
      <c r="K241" s="214"/>
      <c r="M241" s="98">
        <v>997.33</v>
      </c>
      <c r="N241" s="133">
        <f>SUM(K241:M241)</f>
        <v>997.33</v>
      </c>
    </row>
    <row r="242" spans="1:14" ht="13.5" hidden="1" outlineLevel="1" thickBot="1">
      <c r="A242" s="46">
        <v>37684</v>
      </c>
      <c r="B242" s="85" t="s">
        <v>7</v>
      </c>
      <c r="D242" s="129">
        <v>30</v>
      </c>
      <c r="E242" s="129"/>
      <c r="F242" s="134"/>
      <c r="G242" s="129">
        <f t="shared" si="16"/>
        <v>30</v>
      </c>
      <c r="I242" s="139">
        <v>37873</v>
      </c>
      <c r="J242" s="1" t="s">
        <v>240</v>
      </c>
      <c r="K242" s="133">
        <v>0.27</v>
      </c>
      <c r="L242" s="3"/>
      <c r="M242" s="3"/>
      <c r="N242" s="101">
        <f>SUM(K242:M242)</f>
        <v>0.27</v>
      </c>
    </row>
    <row r="243" spans="1:14" ht="13.5" hidden="1" outlineLevel="1" thickTop="1">
      <c r="A243" s="46">
        <v>37685</v>
      </c>
      <c r="B243" t="s">
        <v>49</v>
      </c>
      <c r="C243" s="129"/>
      <c r="D243" s="129">
        <v>30</v>
      </c>
      <c r="E243" s="129"/>
      <c r="F243" s="129"/>
      <c r="G243" s="129">
        <f t="shared" si="16"/>
        <v>30</v>
      </c>
      <c r="J243" s="86"/>
      <c r="K243" s="87">
        <f>SUM(K233:K238)</f>
        <v>0</v>
      </c>
      <c r="L243" s="87">
        <f>SUM(L233:L238)</f>
        <v>0</v>
      </c>
      <c r="M243" s="135">
        <f>SUM(M239:M241)</f>
        <v>2494.77</v>
      </c>
      <c r="N243" s="135">
        <f>SUM(N239:N242)</f>
        <v>2495.04</v>
      </c>
    </row>
    <row r="244" spans="2:14" ht="13.5" hidden="1" outlineLevel="1" thickBot="1">
      <c r="B244" t="s">
        <v>6</v>
      </c>
      <c r="C244" s="129"/>
      <c r="D244" s="129">
        <v>30</v>
      </c>
      <c r="E244" s="129"/>
      <c r="F244" s="129"/>
      <c r="G244" s="129">
        <f t="shared" si="16"/>
        <v>30</v>
      </c>
      <c r="J244" t="s">
        <v>101</v>
      </c>
      <c r="K244" s="2">
        <f>G258</f>
        <v>6083.0199999999995</v>
      </c>
      <c r="L244" s="2"/>
      <c r="M244" s="2"/>
      <c r="N244" s="131">
        <f>SUM(K244:M244)</f>
        <v>6083.0199999999995</v>
      </c>
    </row>
    <row r="245" spans="2:14" ht="13.5" hidden="1" outlineLevel="1" thickTop="1">
      <c r="B245" t="s">
        <v>9</v>
      </c>
      <c r="C245" s="129"/>
      <c r="D245" s="129">
        <v>30</v>
      </c>
      <c r="E245" s="129"/>
      <c r="F245" s="129"/>
      <c r="G245" s="129">
        <f t="shared" si="16"/>
        <v>30</v>
      </c>
      <c r="K245" s="2"/>
      <c r="L245" s="2"/>
      <c r="M245" s="2"/>
      <c r="N245" s="129">
        <f>N244-N243</f>
        <v>3587.9799999999996</v>
      </c>
    </row>
    <row r="246" spans="2:14" ht="12.75" hidden="1" outlineLevel="1">
      <c r="B246" t="s">
        <v>11</v>
      </c>
      <c r="D246" s="129">
        <v>30</v>
      </c>
      <c r="E246" s="129"/>
      <c r="F246" s="129"/>
      <c r="G246" s="129">
        <f t="shared" si="16"/>
        <v>30</v>
      </c>
      <c r="K246" s="2"/>
      <c r="L246" s="2"/>
      <c r="M246" s="2"/>
      <c r="N246" s="129"/>
    </row>
    <row r="247" spans="2:14" ht="12.75" hidden="1" outlineLevel="1">
      <c r="B247" t="s">
        <v>50</v>
      </c>
      <c r="C247" s="129"/>
      <c r="D247" s="129">
        <v>30</v>
      </c>
      <c r="E247" s="129"/>
      <c r="F247" s="129"/>
      <c r="G247" s="129">
        <f aca="true" t="shared" si="17" ref="G247:G256">SUM(C247:F247)</f>
        <v>30</v>
      </c>
      <c r="K247" s="2"/>
      <c r="L247" s="2"/>
      <c r="M247" s="2"/>
      <c r="N247" s="129"/>
    </row>
    <row r="248" spans="1:13" ht="12.75" hidden="1" outlineLevel="1">
      <c r="A248" s="46"/>
      <c r="B248" t="s">
        <v>54</v>
      </c>
      <c r="D248" s="129">
        <v>30</v>
      </c>
      <c r="E248" s="129"/>
      <c r="F248" s="129"/>
      <c r="G248" s="129">
        <f t="shared" si="17"/>
        <v>30</v>
      </c>
      <c r="K248" s="2"/>
      <c r="L248" s="2"/>
      <c r="M248" s="2"/>
    </row>
    <row r="249" spans="1:7" ht="12.75" hidden="1" outlineLevel="1">
      <c r="A249" s="46"/>
      <c r="B249" t="s">
        <v>56</v>
      </c>
      <c r="C249" s="129"/>
      <c r="D249" s="129">
        <v>30.27</v>
      </c>
      <c r="E249" s="129"/>
      <c r="F249" s="129"/>
      <c r="G249" s="129">
        <f t="shared" si="17"/>
        <v>30.27</v>
      </c>
    </row>
    <row r="250" spans="1:7" ht="12.75" hidden="1" outlineLevel="1">
      <c r="A250" s="46"/>
      <c r="B250" t="s">
        <v>52</v>
      </c>
      <c r="C250" s="129"/>
      <c r="D250" s="129">
        <v>30</v>
      </c>
      <c r="E250" s="129"/>
      <c r="F250" s="129"/>
      <c r="G250" s="129">
        <f t="shared" si="17"/>
        <v>30</v>
      </c>
    </row>
    <row r="251" spans="1:14" ht="12.75" hidden="1" outlineLevel="1">
      <c r="A251" s="46">
        <v>37686</v>
      </c>
      <c r="B251" t="s">
        <v>8</v>
      </c>
      <c r="C251" s="129"/>
      <c r="D251" s="129">
        <v>30</v>
      </c>
      <c r="E251" s="129"/>
      <c r="F251" s="129"/>
      <c r="G251" s="129">
        <f t="shared" si="17"/>
        <v>30</v>
      </c>
      <c r="J251" s="7"/>
      <c r="K251" s="7"/>
      <c r="L251" s="7"/>
      <c r="M251" s="7"/>
      <c r="N251" s="8"/>
    </row>
    <row r="252" spans="1:14" ht="12.75" hidden="1" outlineLevel="1">
      <c r="A252" s="46">
        <v>37687</v>
      </c>
      <c r="B252" t="s">
        <v>193</v>
      </c>
      <c r="C252" s="129">
        <v>610.72</v>
      </c>
      <c r="G252" s="129">
        <f t="shared" si="17"/>
        <v>610.72</v>
      </c>
      <c r="J252" s="10" t="s">
        <v>18</v>
      </c>
      <c r="K252" s="11"/>
      <c r="L252" s="11"/>
      <c r="M252" s="11"/>
      <c r="N252" s="144">
        <f>'Lloyd TSB'!E245</f>
        <v>0</v>
      </c>
    </row>
    <row r="253" spans="1:14" ht="12.75" hidden="1" outlineLevel="1">
      <c r="A253" s="46">
        <v>37691</v>
      </c>
      <c r="B253" t="s">
        <v>115</v>
      </c>
      <c r="C253" s="129"/>
      <c r="D253" s="129"/>
      <c r="E253" s="125">
        <v>2.06</v>
      </c>
      <c r="F253" s="129"/>
      <c r="G253" s="129">
        <f t="shared" si="17"/>
        <v>2.06</v>
      </c>
      <c r="J253" s="13" t="s">
        <v>169</v>
      </c>
      <c r="K253" s="7"/>
      <c r="L253" s="7"/>
      <c r="M253" s="7"/>
      <c r="N253" s="218">
        <f>'Charles Schwab'!H84</f>
        <v>0</v>
      </c>
    </row>
    <row r="254" spans="1:14" ht="13.5" hidden="1" outlineLevel="1" thickBot="1">
      <c r="A254" s="46"/>
      <c r="B254" t="s">
        <v>235</v>
      </c>
      <c r="C254" s="129"/>
      <c r="D254" s="129"/>
      <c r="E254" s="125"/>
      <c r="F254" s="129">
        <v>18.2</v>
      </c>
      <c r="G254" s="129">
        <f t="shared" si="17"/>
        <v>18.2</v>
      </c>
      <c r="J254" s="13" t="s">
        <v>170</v>
      </c>
      <c r="K254" s="7"/>
      <c r="L254" s="7"/>
      <c r="M254" s="7"/>
      <c r="N254" s="219">
        <f>Comdirect!H104</f>
        <v>3567.98</v>
      </c>
    </row>
    <row r="255" spans="1:14" ht="13.5" hidden="1" outlineLevel="1" thickTop="1">
      <c r="A255" s="46">
        <v>37692</v>
      </c>
      <c r="B255" t="s">
        <v>32</v>
      </c>
      <c r="C255" s="129">
        <v>486.03</v>
      </c>
      <c r="D255" s="129"/>
      <c r="E255" s="129"/>
      <c r="F255" s="129"/>
      <c r="G255" s="129">
        <f t="shared" si="17"/>
        <v>486.03</v>
      </c>
      <c r="J255" s="15"/>
      <c r="K255" s="9"/>
      <c r="L255" s="9"/>
      <c r="M255" s="9"/>
      <c r="N255" s="65">
        <f>SUM(N252:N254)</f>
        <v>3567.98</v>
      </c>
    </row>
    <row r="256" spans="1:14" ht="12.75" hidden="1" outlineLevel="1">
      <c r="A256" s="46"/>
      <c r="B256" t="s">
        <v>270</v>
      </c>
      <c r="C256" s="101">
        <v>470.78</v>
      </c>
      <c r="D256" s="101"/>
      <c r="E256" s="124"/>
      <c r="F256" s="101"/>
      <c r="G256" s="101">
        <f t="shared" si="17"/>
        <v>470.78</v>
      </c>
      <c r="J256" s="7"/>
      <c r="K256" s="7"/>
      <c r="L256" s="7"/>
      <c r="M256" s="7"/>
      <c r="N256" s="8"/>
    </row>
    <row r="257" spans="1:14" ht="13.5" hidden="1" outlineLevel="1" thickBot="1">
      <c r="A257" s="46">
        <v>37699</v>
      </c>
      <c r="B257" t="s">
        <v>152</v>
      </c>
      <c r="C257" s="165">
        <v>90.23</v>
      </c>
      <c r="D257" s="131"/>
      <c r="E257" s="131"/>
      <c r="F257" s="131"/>
      <c r="G257" s="131">
        <f>SUM(C257:F257)</f>
        <v>90.23</v>
      </c>
      <c r="J257" s="7"/>
      <c r="K257" s="7"/>
      <c r="L257" s="7"/>
      <c r="M257" s="7"/>
      <c r="N257" s="8"/>
    </row>
    <row r="258" spans="3:14" ht="13.5" hidden="1" outlineLevel="1" thickTop="1">
      <c r="C258" s="101">
        <f>SUM(C239:C257)</f>
        <v>5702.489999999999</v>
      </c>
      <c r="D258" s="101">
        <f>SUM(D239:D257)</f>
        <v>360.27</v>
      </c>
      <c r="E258" s="101">
        <f>SUM(E239:E257)</f>
        <v>2.06</v>
      </c>
      <c r="F258" s="101">
        <f>SUM(F239:F257)</f>
        <v>18.2</v>
      </c>
      <c r="G258" s="101">
        <f>SUM(G239:G257)</f>
        <v>6083.0199999999995</v>
      </c>
      <c r="J258" s="7"/>
      <c r="K258" s="7"/>
      <c r="L258" s="7"/>
      <c r="M258" s="7"/>
      <c r="N258" s="8"/>
    </row>
    <row r="259" ht="12.75" collapsed="1"/>
    <row r="260" ht="12.75"/>
    <row r="261" ht="12.75"/>
    <row r="307" ht="12.75"/>
    <row r="308" ht="12.75"/>
    <row r="309" ht="12.75"/>
    <row r="310" ht="12.75"/>
    <row r="311" ht="12.75"/>
    <row r="318" ht="12.75"/>
    <row r="319" ht="12.75"/>
    <row r="327" ht="12.75"/>
    <row r="328" ht="12.75"/>
  </sheetData>
  <printOptions/>
  <pageMargins left="0.5905511811023623" right="0.5905511811023623" top="0.74" bottom="0.3" header="0.5118110236220472" footer="0.22"/>
  <pageSetup horizontalDpi="300" verticalDpi="300" orientation="landscape" paperSize="9" r:id="rId3"/>
  <headerFooter alignWithMargins="0">
    <oddHeader>&amp;CRoborough Investment Club Accounts 1999/2000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:A2"/>
    </sheetView>
  </sheetViews>
  <sheetFormatPr defaultColWidth="9.140625" defaultRowHeight="12.75"/>
  <cols>
    <col min="1" max="1" width="15.8515625" style="0" customWidth="1"/>
    <col min="2" max="2" width="12.7109375" style="0" customWidth="1"/>
    <col min="9" max="9" width="10.140625" style="0" customWidth="1"/>
    <col min="10" max="10" width="8.140625" style="0" bestFit="1" customWidth="1"/>
  </cols>
  <sheetData>
    <row r="1" spans="1:16" s="50" customFormat="1" ht="12.75" customHeight="1">
      <c r="A1" s="293" t="s">
        <v>283</v>
      </c>
      <c r="B1" s="293" t="s">
        <v>284</v>
      </c>
      <c r="C1" s="293" t="s">
        <v>285</v>
      </c>
      <c r="D1" s="293"/>
      <c r="E1" s="291" t="s">
        <v>286</v>
      </c>
      <c r="F1" s="291"/>
      <c r="G1" s="291" t="s">
        <v>287</v>
      </c>
      <c r="H1" s="291" t="s">
        <v>288</v>
      </c>
      <c r="I1" s="291"/>
      <c r="J1" s="259"/>
      <c r="M1"/>
      <c r="N1"/>
      <c r="P1"/>
    </row>
    <row r="2" spans="1:15" s="50" customFormat="1" ht="25.5">
      <c r="A2" s="293"/>
      <c r="B2" s="294"/>
      <c r="C2" s="293"/>
      <c r="D2" s="293"/>
      <c r="E2" s="259" t="s">
        <v>289</v>
      </c>
      <c r="F2" s="259" t="s">
        <v>290</v>
      </c>
      <c r="G2" s="291"/>
      <c r="H2" s="259" t="s">
        <v>291</v>
      </c>
      <c r="I2" s="259" t="s">
        <v>292</v>
      </c>
      <c r="J2" s="259"/>
      <c r="O2"/>
    </row>
    <row r="3" spans="1:10" ht="12.75">
      <c r="A3" s="89">
        <v>37676</v>
      </c>
      <c r="B3" s="155">
        <v>37176</v>
      </c>
      <c r="C3" s="156" t="s">
        <v>151</v>
      </c>
      <c r="D3" s="71"/>
      <c r="E3" s="157">
        <v>280</v>
      </c>
      <c r="F3" s="98">
        <v>1017.92</v>
      </c>
      <c r="G3" s="152">
        <v>220.46</v>
      </c>
      <c r="H3" s="98"/>
      <c r="I3" s="98">
        <v>797.46</v>
      </c>
      <c r="J3" s="125"/>
    </row>
    <row r="4" spans="1:10" ht="12.75">
      <c r="A4" s="89">
        <v>37348</v>
      </c>
      <c r="B4" s="155">
        <v>36628</v>
      </c>
      <c r="C4" s="156" t="s">
        <v>61</v>
      </c>
      <c r="D4" s="71"/>
      <c r="E4" s="157">
        <v>221</v>
      </c>
      <c r="F4" s="98">
        <v>498.49</v>
      </c>
      <c r="G4" s="152">
        <v>538.8312999999999</v>
      </c>
      <c r="H4" s="98">
        <v>40.34</v>
      </c>
      <c r="I4" s="98"/>
      <c r="J4" s="125"/>
    </row>
    <row r="5" spans="1:10" ht="12.75">
      <c r="A5" s="89">
        <v>37348</v>
      </c>
      <c r="B5" s="155">
        <v>36873</v>
      </c>
      <c r="C5" s="156" t="s">
        <v>61</v>
      </c>
      <c r="D5" s="71"/>
      <c r="E5" s="157">
        <v>373</v>
      </c>
      <c r="F5" s="98">
        <v>1016.64</v>
      </c>
      <c r="G5" s="152">
        <v>908.6263</v>
      </c>
      <c r="H5" s="98"/>
      <c r="I5" s="98">
        <v>108.01</v>
      </c>
      <c r="J5" s="125"/>
    </row>
    <row r="6" spans="1:10" ht="12.75">
      <c r="A6" s="89">
        <v>37676</v>
      </c>
      <c r="B6" s="260">
        <v>37201</v>
      </c>
      <c r="C6" s="156" t="s">
        <v>94</v>
      </c>
      <c r="D6" s="71"/>
      <c r="E6" s="157">
        <v>364</v>
      </c>
      <c r="F6" s="98">
        <v>1018.01</v>
      </c>
      <c r="G6" s="152">
        <v>399.32</v>
      </c>
      <c r="H6" s="98"/>
      <c r="I6" s="98">
        <v>618.69</v>
      </c>
      <c r="J6" s="125"/>
    </row>
    <row r="7" spans="1:10" ht="12.75">
      <c r="A7" s="89">
        <v>37453</v>
      </c>
      <c r="B7" s="155">
        <v>37309</v>
      </c>
      <c r="C7" s="83" t="s">
        <v>178</v>
      </c>
      <c r="D7" s="71"/>
      <c r="E7" s="157">
        <v>561</v>
      </c>
      <c r="F7" s="98">
        <v>994.16</v>
      </c>
      <c r="G7" s="98">
        <v>918.15</v>
      </c>
      <c r="H7" s="98"/>
      <c r="I7" s="98">
        <v>76.01</v>
      </c>
      <c r="J7" s="125"/>
    </row>
    <row r="8" spans="1:10" ht="12.75">
      <c r="A8" s="89">
        <v>37692</v>
      </c>
      <c r="B8" s="269">
        <v>37320</v>
      </c>
      <c r="C8" s="265" t="s">
        <v>32</v>
      </c>
      <c r="D8" s="71"/>
      <c r="E8" s="214">
        <v>1747</v>
      </c>
      <c r="F8" s="98">
        <v>999.5</v>
      </c>
      <c r="G8" s="98">
        <v>486.03</v>
      </c>
      <c r="H8" s="98" t="s">
        <v>293</v>
      </c>
      <c r="I8" s="98">
        <v>513.47</v>
      </c>
      <c r="J8" s="125"/>
    </row>
    <row r="9" spans="1:10" ht="12.75">
      <c r="A9" s="89">
        <v>37375</v>
      </c>
      <c r="B9" s="269">
        <v>37320</v>
      </c>
      <c r="C9" s="266" t="s">
        <v>51</v>
      </c>
      <c r="D9" s="71"/>
      <c r="E9" s="214">
        <v>716</v>
      </c>
      <c r="F9" s="98">
        <v>999.66</v>
      </c>
      <c r="G9" s="98">
        <v>780.1</v>
      </c>
      <c r="H9" s="98"/>
      <c r="I9" s="98">
        <v>219.56</v>
      </c>
      <c r="J9" s="125"/>
    </row>
    <row r="10" spans="1:10" ht="12.75">
      <c r="A10" s="89">
        <v>37378</v>
      </c>
      <c r="B10" s="269">
        <v>37342</v>
      </c>
      <c r="C10" s="83" t="s">
        <v>152</v>
      </c>
      <c r="D10" s="71"/>
      <c r="E10" s="214">
        <v>2000</v>
      </c>
      <c r="F10" s="98">
        <v>150.41</v>
      </c>
      <c r="G10" s="98">
        <v>253.5</v>
      </c>
      <c r="H10" s="98">
        <v>103.09</v>
      </c>
      <c r="I10" s="97"/>
      <c r="J10" s="125"/>
    </row>
    <row r="11" spans="1:10" ht="12.75">
      <c r="A11" s="89">
        <v>37389</v>
      </c>
      <c r="B11" s="269">
        <v>37342</v>
      </c>
      <c r="C11" s="91" t="s">
        <v>185</v>
      </c>
      <c r="D11" s="71"/>
      <c r="E11" s="166">
        <v>85</v>
      </c>
      <c r="F11" s="98">
        <v>999.9</v>
      </c>
      <c r="G11" s="98">
        <v>788.95</v>
      </c>
      <c r="H11" s="98"/>
      <c r="I11" s="97">
        <v>210.95</v>
      </c>
      <c r="J11" s="125"/>
    </row>
    <row r="12" spans="1:10" ht="12.75">
      <c r="A12" s="89">
        <v>37687</v>
      </c>
      <c r="B12" s="260">
        <v>37375</v>
      </c>
      <c r="C12" s="88" t="s">
        <v>193</v>
      </c>
      <c r="D12" s="71"/>
      <c r="E12" s="268">
        <v>202</v>
      </c>
      <c r="F12" s="98">
        <v>995.61</v>
      </c>
      <c r="G12" s="98">
        <v>610.721</v>
      </c>
      <c r="H12" s="98" t="s">
        <v>293</v>
      </c>
      <c r="I12" s="98">
        <v>384.89</v>
      </c>
      <c r="J12" s="125"/>
    </row>
    <row r="13" spans="1:10" ht="12.75">
      <c r="A13" s="89">
        <v>37699</v>
      </c>
      <c r="B13" s="269">
        <v>37427</v>
      </c>
      <c r="C13" s="83" t="s">
        <v>152</v>
      </c>
      <c r="D13" s="71"/>
      <c r="E13" s="214">
        <v>5090</v>
      </c>
      <c r="F13" s="98">
        <v>249.98</v>
      </c>
      <c r="G13" s="98">
        <v>90.228</v>
      </c>
      <c r="H13" s="98" t="s">
        <v>293</v>
      </c>
      <c r="I13" s="98">
        <v>159.75</v>
      </c>
      <c r="J13" s="125"/>
    </row>
    <row r="14" spans="1:10" ht="12.75">
      <c r="A14" s="89">
        <v>37692</v>
      </c>
      <c r="B14" s="155">
        <v>37665</v>
      </c>
      <c r="C14" s="156" t="s">
        <v>270</v>
      </c>
      <c r="D14" s="71"/>
      <c r="E14" s="157">
        <v>249</v>
      </c>
      <c r="F14" s="98">
        <v>499.98</v>
      </c>
      <c r="G14" s="98">
        <v>470.78</v>
      </c>
      <c r="H14" s="98"/>
      <c r="I14" s="98">
        <v>29.2</v>
      </c>
      <c r="J14" s="125"/>
    </row>
    <row r="15" spans="1:10" ht="12.75">
      <c r="A15" s="71"/>
      <c r="B15" s="71"/>
      <c r="C15" s="71"/>
      <c r="D15" s="71"/>
      <c r="E15" s="71"/>
      <c r="F15" s="253" t="s">
        <v>294</v>
      </c>
      <c r="G15" s="83">
        <f>SUM(G3:G14)</f>
        <v>6465.696599999999</v>
      </c>
      <c r="H15" s="98">
        <f>SUM(H3:H14)</f>
        <v>143.43</v>
      </c>
      <c r="I15" s="98">
        <f>SUM(I3:I14)</f>
        <v>3117.99</v>
      </c>
      <c r="J15" s="134">
        <f>H15-I15</f>
        <v>-2974.56</v>
      </c>
    </row>
    <row r="16" spans="5:17" ht="12.75">
      <c r="E16" s="155"/>
      <c r="F16" s="156"/>
      <c r="G16" s="157"/>
      <c r="H16" s="152"/>
      <c r="I16" s="152"/>
      <c r="J16" s="152"/>
      <c r="K16" s="178"/>
      <c r="L16" s="151"/>
      <c r="M16" s="157"/>
      <c r="N16" s="152"/>
      <c r="O16" s="152"/>
      <c r="P16" s="152"/>
      <c r="Q16" s="83"/>
    </row>
    <row r="17" spans="2:17" ht="12.75">
      <c r="B17" t="s">
        <v>295</v>
      </c>
      <c r="E17" s="155"/>
      <c r="F17" s="156"/>
      <c r="G17" s="157"/>
      <c r="H17" s="152"/>
      <c r="I17" s="152"/>
      <c r="J17" s="152"/>
      <c r="K17" s="178"/>
      <c r="L17" s="151"/>
      <c r="M17" s="157"/>
      <c r="N17" s="152"/>
      <c r="O17" s="152"/>
      <c r="P17" s="152"/>
      <c r="Q17" s="83"/>
    </row>
    <row r="18" spans="2:17" ht="12.75">
      <c r="B18" t="s">
        <v>296</v>
      </c>
      <c r="C18" t="s">
        <v>297</v>
      </c>
      <c r="D18" t="s">
        <v>298</v>
      </c>
      <c r="E18" s="264"/>
      <c r="F18" s="156"/>
      <c r="G18" s="157"/>
      <c r="H18" s="152"/>
      <c r="I18" s="152"/>
      <c r="J18" s="152"/>
      <c r="K18" s="178"/>
      <c r="L18" s="151"/>
      <c r="M18" s="157"/>
      <c r="N18" s="152"/>
      <c r="O18" s="152"/>
      <c r="P18" s="152"/>
      <c r="Q18" s="83"/>
    </row>
    <row r="19" spans="1:17" ht="12.75">
      <c r="A19" s="43"/>
      <c r="B19" s="2">
        <v>10.21</v>
      </c>
      <c r="C19" s="2">
        <v>2.49</v>
      </c>
      <c r="D19" s="8">
        <v>12.7</v>
      </c>
      <c r="E19" s="260"/>
      <c r="F19" s="156"/>
      <c r="G19" s="157"/>
      <c r="H19" s="152"/>
      <c r="I19" s="152"/>
      <c r="J19" s="152"/>
      <c r="K19" s="178"/>
      <c r="L19" s="151"/>
      <c r="M19" s="157"/>
      <c r="N19" s="152"/>
      <c r="O19" s="152"/>
      <c r="P19" s="152"/>
      <c r="Q19" s="83"/>
    </row>
    <row r="20" spans="1:17" ht="12.75">
      <c r="A20" s="43"/>
      <c r="B20" s="2"/>
      <c r="C20" s="2"/>
      <c r="D20" s="2"/>
      <c r="E20" s="155"/>
      <c r="F20" s="156"/>
      <c r="G20" s="157"/>
      <c r="H20" s="152"/>
      <c r="I20" s="152"/>
      <c r="J20" s="152"/>
      <c r="K20" s="260"/>
      <c r="L20" s="151"/>
      <c r="M20" s="157"/>
      <c r="N20" s="152"/>
      <c r="O20" s="152"/>
      <c r="P20" s="263"/>
      <c r="Q20" s="85"/>
    </row>
    <row r="21" spans="2:17" ht="12.75">
      <c r="B21" t="s">
        <v>299</v>
      </c>
      <c r="C21" s="2" t="s">
        <v>187</v>
      </c>
      <c r="E21" s="155"/>
      <c r="F21" s="83"/>
      <c r="G21" s="157"/>
      <c r="H21" s="152"/>
      <c r="I21" s="152"/>
      <c r="J21" s="152"/>
      <c r="K21" s="178"/>
      <c r="L21" s="157"/>
      <c r="M21" s="152"/>
      <c r="N21" s="152"/>
      <c r="O21" s="152"/>
      <c r="P21" s="152"/>
      <c r="Q21" s="83"/>
    </row>
    <row r="22" spans="2:17" ht="12.75">
      <c r="B22" t="s">
        <v>296</v>
      </c>
      <c r="C22" s="2"/>
      <c r="D22" s="2"/>
      <c r="E22" s="159"/>
      <c r="F22" s="265"/>
      <c r="G22" s="214"/>
      <c r="H22" s="152"/>
      <c r="I22" s="152"/>
      <c r="J22" s="152"/>
      <c r="K22" s="178"/>
      <c r="L22" s="214"/>
      <c r="M22" s="152"/>
      <c r="N22" s="152"/>
      <c r="O22" s="152"/>
      <c r="P22" s="152"/>
      <c r="Q22" s="83"/>
    </row>
    <row r="23" spans="1:17" ht="12.75">
      <c r="A23" s="43" t="s">
        <v>312</v>
      </c>
      <c r="B23" s="270">
        <v>0.09</v>
      </c>
      <c r="C23" s="220">
        <v>1.32</v>
      </c>
      <c r="D23" s="2"/>
      <c r="E23" s="159"/>
      <c r="F23" s="83"/>
      <c r="G23" s="214"/>
      <c r="H23" s="152"/>
      <c r="I23" s="152"/>
      <c r="J23" s="152"/>
      <c r="K23" s="178"/>
      <c r="L23" s="151"/>
      <c r="M23" s="157"/>
      <c r="N23" s="152"/>
      <c r="O23" s="152"/>
      <c r="P23" s="152"/>
      <c r="Q23" s="83"/>
    </row>
    <row r="24" spans="1:17" ht="12.75">
      <c r="A24" s="43" t="s">
        <v>47</v>
      </c>
      <c r="B24" s="292">
        <f>B23+C23</f>
        <v>1.4100000000000001</v>
      </c>
      <c r="C24" s="292"/>
      <c r="D24" s="2"/>
      <c r="E24" s="267"/>
      <c r="F24" s="88"/>
      <c r="G24" s="268"/>
      <c r="H24" s="152"/>
      <c r="I24" s="152"/>
      <c r="J24" s="152"/>
      <c r="K24" s="178"/>
      <c r="L24" s="151"/>
      <c r="M24" s="157"/>
      <c r="N24" s="152"/>
      <c r="O24" s="152"/>
      <c r="P24" s="152"/>
      <c r="Q24" s="83"/>
    </row>
    <row r="25" spans="5:17" ht="12.75">
      <c r="E25" s="159"/>
      <c r="F25" s="83"/>
      <c r="G25" s="214"/>
      <c r="H25" s="152"/>
      <c r="I25" s="152"/>
      <c r="J25" s="152"/>
      <c r="K25" s="178"/>
      <c r="L25" s="151"/>
      <c r="M25" s="157"/>
      <c r="N25" s="152"/>
      <c r="O25" s="152"/>
      <c r="P25" s="152"/>
      <c r="Q25" s="83"/>
    </row>
    <row r="26" spans="1:17" ht="12.75">
      <c r="A26" s="43" t="s">
        <v>3</v>
      </c>
      <c r="B26" t="s">
        <v>296</v>
      </c>
      <c r="C26" t="s">
        <v>297</v>
      </c>
      <c r="D26" t="s">
        <v>298</v>
      </c>
      <c r="E26" s="159"/>
      <c r="F26" s="83"/>
      <c r="G26" s="214"/>
      <c r="H26" s="152"/>
      <c r="I26" s="152"/>
      <c r="J26" s="152"/>
      <c r="K26" s="260"/>
      <c r="L26" s="151"/>
      <c r="M26" s="157"/>
      <c r="N26" s="152"/>
      <c r="O26" s="152"/>
      <c r="P26" s="263"/>
      <c r="Q26" s="85"/>
    </row>
    <row r="27" spans="1:17" ht="12.75">
      <c r="A27" t="s">
        <v>300</v>
      </c>
      <c r="B27" s="2">
        <f>154.73+86.65</f>
        <v>241.38</v>
      </c>
      <c r="C27" s="2">
        <f>10.82+17.16</f>
        <v>27.98</v>
      </c>
      <c r="D27" s="2">
        <f>171.89+97.47</f>
        <v>269.36</v>
      </c>
      <c r="E27" s="155"/>
      <c r="F27" s="156"/>
      <c r="G27" s="157"/>
      <c r="H27" s="152"/>
      <c r="I27" s="152"/>
      <c r="J27" s="152"/>
      <c r="K27" s="260"/>
      <c r="L27" s="151"/>
      <c r="M27" s="157"/>
      <c r="N27" s="152"/>
      <c r="O27" s="152"/>
      <c r="P27" s="263"/>
      <c r="Q27" s="85"/>
    </row>
    <row r="28" spans="5:17" ht="12.75">
      <c r="E28" s="155"/>
      <c r="F28" s="156"/>
      <c r="G28" s="157"/>
      <c r="H28" s="152"/>
      <c r="I28" s="152"/>
      <c r="J28" s="152"/>
      <c r="K28" s="178"/>
      <c r="L28" s="214"/>
      <c r="M28" s="152"/>
      <c r="N28" s="152"/>
      <c r="O28" s="152"/>
      <c r="P28" s="152"/>
      <c r="Q28" s="83"/>
    </row>
    <row r="29" spans="1:11" ht="12.75">
      <c r="A29" t="s">
        <v>301</v>
      </c>
      <c r="C29" t="s">
        <v>58</v>
      </c>
      <c r="E29" s="122" t="s">
        <v>302</v>
      </c>
      <c r="F29" s="122" t="s">
        <v>303</v>
      </c>
      <c r="G29" s="122" t="s">
        <v>304</v>
      </c>
      <c r="H29" s="122" t="s">
        <v>305</v>
      </c>
      <c r="I29" s="122" t="s">
        <v>306</v>
      </c>
      <c r="J29" s="122"/>
      <c r="K29" s="122" t="s">
        <v>307</v>
      </c>
    </row>
    <row r="30" spans="5:11" ht="12.75">
      <c r="E30" s="122" t="s">
        <v>308</v>
      </c>
      <c r="F30" s="122" t="s">
        <v>309</v>
      </c>
      <c r="G30" s="122" t="s">
        <v>296</v>
      </c>
      <c r="H30" s="122" t="s">
        <v>310</v>
      </c>
      <c r="I30" s="122" t="s">
        <v>298</v>
      </c>
      <c r="J30" s="122"/>
      <c r="K30" s="122" t="s">
        <v>311</v>
      </c>
    </row>
    <row r="31" spans="1:11" ht="12.75">
      <c r="A31" t="s">
        <v>5</v>
      </c>
      <c r="C31" s="122">
        <v>11625</v>
      </c>
      <c r="D31" s="272">
        <f>C31/C45</f>
        <v>0.08849793314504525</v>
      </c>
      <c r="E31" s="122">
        <f>ROUND($J$15*D31,2)</f>
        <v>-263.24</v>
      </c>
      <c r="F31" s="271">
        <f>ROUND($B$24*D31,3)</f>
        <v>0.125</v>
      </c>
      <c r="G31" s="122">
        <f>ROUND($B$27*D31,2)</f>
        <v>21.36</v>
      </c>
      <c r="H31" s="122">
        <f>ROUND($C$27*D31,2)</f>
        <v>2.48</v>
      </c>
      <c r="I31" s="122">
        <f>ROUND($D$19*D31,2)</f>
        <v>1.12</v>
      </c>
      <c r="J31" s="122"/>
      <c r="K31" s="122">
        <f>ROUND($G$15*D31,2)</f>
        <v>572.2</v>
      </c>
    </row>
    <row r="32" spans="1:11" ht="12.75">
      <c r="A32" t="s">
        <v>54</v>
      </c>
      <c r="C32" s="122">
        <v>8763</v>
      </c>
      <c r="D32" s="272">
        <f>C32/C45</f>
        <v>0.06671031295914251</v>
      </c>
      <c r="E32" s="122">
        <f aca="true" t="shared" si="0" ref="E32:E44">ROUND($J$15*D32,2)</f>
        <v>-198.43</v>
      </c>
      <c r="F32" s="271">
        <f aca="true" t="shared" si="1" ref="F32:F44">ROUND($B$24*D32,3)</f>
        <v>0.094</v>
      </c>
      <c r="G32" s="122">
        <f aca="true" t="shared" si="2" ref="G32:G44">ROUND($B$27*D32,2)</f>
        <v>16.1</v>
      </c>
      <c r="H32" s="122">
        <f aca="true" t="shared" si="3" ref="H32:H44">ROUND($C$27*D32,2)</f>
        <v>1.87</v>
      </c>
      <c r="I32" s="122">
        <f aca="true" t="shared" si="4" ref="I32:I44">ROUND($D$19*D32,2)</f>
        <v>0.85</v>
      </c>
      <c r="J32" s="122"/>
      <c r="K32" s="122">
        <f aca="true" t="shared" si="5" ref="K32:K44">ROUND($G$15*D32,2)</f>
        <v>431.33</v>
      </c>
    </row>
    <row r="33" spans="1:11" ht="12.75">
      <c r="A33" t="s">
        <v>11</v>
      </c>
      <c r="C33" s="122">
        <v>11625</v>
      </c>
      <c r="D33" s="272">
        <f>C33/C45</f>
        <v>0.08849793314504525</v>
      </c>
      <c r="E33" s="122">
        <f t="shared" si="0"/>
        <v>-263.24</v>
      </c>
      <c r="F33" s="271">
        <f t="shared" si="1"/>
        <v>0.125</v>
      </c>
      <c r="G33" s="122">
        <f t="shared" si="2"/>
        <v>21.36</v>
      </c>
      <c r="H33" s="122">
        <f t="shared" si="3"/>
        <v>2.48</v>
      </c>
      <c r="I33" s="122">
        <f t="shared" si="4"/>
        <v>1.12</v>
      </c>
      <c r="J33" s="122"/>
      <c r="K33" s="122">
        <f t="shared" si="5"/>
        <v>572.2</v>
      </c>
    </row>
    <row r="34" spans="1:11" ht="12.75">
      <c r="A34" t="s">
        <v>7</v>
      </c>
      <c r="C34" s="122">
        <v>11625</v>
      </c>
      <c r="D34" s="272">
        <f>C34/C45</f>
        <v>0.08849793314504525</v>
      </c>
      <c r="E34" s="122">
        <f t="shared" si="0"/>
        <v>-263.24</v>
      </c>
      <c r="F34" s="271">
        <f t="shared" si="1"/>
        <v>0.125</v>
      </c>
      <c r="G34" s="122">
        <f t="shared" si="2"/>
        <v>21.36</v>
      </c>
      <c r="H34" s="122">
        <f t="shared" si="3"/>
        <v>2.48</v>
      </c>
      <c r="I34" s="122">
        <f t="shared" si="4"/>
        <v>1.12</v>
      </c>
      <c r="J34" s="122"/>
      <c r="K34" s="122">
        <f t="shared" si="5"/>
        <v>572.2</v>
      </c>
    </row>
    <row r="35" spans="1:11" ht="12.75">
      <c r="A35" t="s">
        <v>52</v>
      </c>
      <c r="C35" s="122">
        <v>8758</v>
      </c>
      <c r="D35" s="272">
        <f>C35/C45</f>
        <v>0.06667224933198335</v>
      </c>
      <c r="E35" s="122">
        <f t="shared" si="0"/>
        <v>-198.32</v>
      </c>
      <c r="F35" s="271">
        <f t="shared" si="1"/>
        <v>0.094</v>
      </c>
      <c r="G35" s="122">
        <f t="shared" si="2"/>
        <v>16.09</v>
      </c>
      <c r="H35" s="122">
        <f t="shared" si="3"/>
        <v>1.87</v>
      </c>
      <c r="I35" s="122">
        <f t="shared" si="4"/>
        <v>0.85</v>
      </c>
      <c r="J35" s="122"/>
      <c r="K35" s="122">
        <f t="shared" si="5"/>
        <v>431.08</v>
      </c>
    </row>
    <row r="36" spans="1:11" ht="12.75">
      <c r="A36" t="s">
        <v>56</v>
      </c>
      <c r="C36" s="122">
        <v>9048</v>
      </c>
      <c r="D36" s="272">
        <f>C36/C45</f>
        <v>0.06887993970721458</v>
      </c>
      <c r="E36" s="122">
        <f t="shared" si="0"/>
        <v>-204.89</v>
      </c>
      <c r="F36" s="271">
        <f t="shared" si="1"/>
        <v>0.097</v>
      </c>
      <c r="G36" s="122">
        <f t="shared" si="2"/>
        <v>16.63</v>
      </c>
      <c r="H36" s="122">
        <f t="shared" si="3"/>
        <v>1.93</v>
      </c>
      <c r="I36" s="122">
        <f t="shared" si="4"/>
        <v>0.87</v>
      </c>
      <c r="J36" s="122"/>
      <c r="K36" s="122">
        <f t="shared" si="5"/>
        <v>445.36</v>
      </c>
    </row>
    <row r="37" spans="1:11" ht="12.75">
      <c r="A37" t="s">
        <v>6</v>
      </c>
      <c r="C37" s="122">
        <v>11625</v>
      </c>
      <c r="D37" s="272">
        <f>C37/C45</f>
        <v>0.08849793314504525</v>
      </c>
      <c r="E37" s="122">
        <f t="shared" si="0"/>
        <v>-263.24</v>
      </c>
      <c r="F37" s="271">
        <f t="shared" si="1"/>
        <v>0.125</v>
      </c>
      <c r="G37" s="122">
        <f t="shared" si="2"/>
        <v>21.36</v>
      </c>
      <c r="H37" s="122">
        <f t="shared" si="3"/>
        <v>2.48</v>
      </c>
      <c r="I37" s="122">
        <f t="shared" si="4"/>
        <v>1.12</v>
      </c>
      <c r="J37" s="122"/>
      <c r="K37" s="122">
        <f t="shared" si="5"/>
        <v>572.2</v>
      </c>
    </row>
    <row r="38" spans="1:11" ht="12.75">
      <c r="A38" t="s">
        <v>50</v>
      </c>
      <c r="C38" s="122">
        <v>8758</v>
      </c>
      <c r="D38" s="272">
        <f>C38/C45</f>
        <v>0.06667224933198335</v>
      </c>
      <c r="E38" s="122">
        <f t="shared" si="0"/>
        <v>-198.32</v>
      </c>
      <c r="F38" s="271">
        <f t="shared" si="1"/>
        <v>0.094</v>
      </c>
      <c r="G38" s="122">
        <f t="shared" si="2"/>
        <v>16.09</v>
      </c>
      <c r="H38" s="122">
        <f t="shared" si="3"/>
        <v>1.87</v>
      </c>
      <c r="I38" s="122">
        <f t="shared" si="4"/>
        <v>0.85</v>
      </c>
      <c r="J38" s="122"/>
      <c r="K38" s="122">
        <f t="shared" si="5"/>
        <v>431.08</v>
      </c>
    </row>
    <row r="39" spans="1:11" ht="12.75">
      <c r="A39" t="s">
        <v>10</v>
      </c>
      <c r="C39" s="122">
        <v>11626</v>
      </c>
      <c r="D39" s="272">
        <f>C39/C45</f>
        <v>0.08850554587047708</v>
      </c>
      <c r="E39" s="122">
        <f t="shared" si="0"/>
        <v>-263.27</v>
      </c>
      <c r="F39" s="271">
        <f t="shared" si="1"/>
        <v>0.125</v>
      </c>
      <c r="G39" s="122">
        <f t="shared" si="2"/>
        <v>21.36</v>
      </c>
      <c r="H39" s="122">
        <f t="shared" si="3"/>
        <v>2.48</v>
      </c>
      <c r="I39" s="122">
        <f t="shared" si="4"/>
        <v>1.12</v>
      </c>
      <c r="J39" s="122"/>
      <c r="K39" s="122">
        <f t="shared" si="5"/>
        <v>572.25</v>
      </c>
    </row>
    <row r="40" spans="1:11" ht="12.75">
      <c r="A40" t="s">
        <v>105</v>
      </c>
      <c r="C40" s="122">
        <v>1956</v>
      </c>
      <c r="D40" s="272">
        <f>C40/C45</f>
        <v>0.014890490944663099</v>
      </c>
      <c r="E40" s="122">
        <f t="shared" si="0"/>
        <v>-44.29</v>
      </c>
      <c r="F40" s="271">
        <f t="shared" si="1"/>
        <v>0.021</v>
      </c>
      <c r="G40" s="122">
        <f t="shared" si="2"/>
        <v>3.59</v>
      </c>
      <c r="H40" s="122">
        <f t="shared" si="3"/>
        <v>0.42</v>
      </c>
      <c r="I40" s="122">
        <f t="shared" si="4"/>
        <v>0.19</v>
      </c>
      <c r="J40" s="122"/>
      <c r="K40" s="122">
        <f t="shared" si="5"/>
        <v>96.28</v>
      </c>
    </row>
    <row r="41" spans="1:11" ht="12.75">
      <c r="A41" t="s">
        <v>9</v>
      </c>
      <c r="C41" s="122">
        <v>11625</v>
      </c>
      <c r="D41" s="272">
        <f>C41/C45</f>
        <v>0.08849793314504525</v>
      </c>
      <c r="E41" s="122">
        <f t="shared" si="0"/>
        <v>-263.24</v>
      </c>
      <c r="F41" s="271">
        <f t="shared" si="1"/>
        <v>0.125</v>
      </c>
      <c r="G41" s="122">
        <f t="shared" si="2"/>
        <v>21.36</v>
      </c>
      <c r="H41" s="122">
        <f t="shared" si="3"/>
        <v>2.48</v>
      </c>
      <c r="I41" s="122">
        <f t="shared" si="4"/>
        <v>1.12</v>
      </c>
      <c r="J41" s="122"/>
      <c r="K41" s="122">
        <f t="shared" si="5"/>
        <v>572.2</v>
      </c>
    </row>
    <row r="42" spans="1:11" ht="12.75">
      <c r="A42" t="s">
        <v>49</v>
      </c>
      <c r="C42" s="122">
        <v>9005</v>
      </c>
      <c r="D42" s="272">
        <f>C42/C45</f>
        <v>0.06855259251364582</v>
      </c>
      <c r="E42" s="122">
        <f t="shared" si="0"/>
        <v>-203.91</v>
      </c>
      <c r="F42" s="271">
        <f t="shared" si="1"/>
        <v>0.097</v>
      </c>
      <c r="G42" s="122">
        <f t="shared" si="2"/>
        <v>16.55</v>
      </c>
      <c r="H42" s="122">
        <f t="shared" si="3"/>
        <v>1.92</v>
      </c>
      <c r="I42" s="122">
        <f t="shared" si="4"/>
        <v>0.87</v>
      </c>
      <c r="J42" s="122"/>
      <c r="K42" s="122">
        <f t="shared" si="5"/>
        <v>443.24</v>
      </c>
    </row>
    <row r="43" spans="1:11" ht="12.75">
      <c r="A43" t="s">
        <v>53</v>
      </c>
      <c r="C43" s="122">
        <v>3695</v>
      </c>
      <c r="D43" s="272">
        <f>C43/C45</f>
        <v>0.028129020470618687</v>
      </c>
      <c r="E43" s="122">
        <f t="shared" si="0"/>
        <v>-83.67</v>
      </c>
      <c r="F43" s="271">
        <f t="shared" si="1"/>
        <v>0.04</v>
      </c>
      <c r="G43" s="122">
        <f t="shared" si="2"/>
        <v>6.79</v>
      </c>
      <c r="H43" s="122">
        <f t="shared" si="3"/>
        <v>0.79</v>
      </c>
      <c r="I43" s="122">
        <f t="shared" si="4"/>
        <v>0.36</v>
      </c>
      <c r="J43" s="122"/>
      <c r="K43" s="122">
        <f t="shared" si="5"/>
        <v>181.87</v>
      </c>
    </row>
    <row r="44" spans="1:11" ht="13.5" thickBot="1">
      <c r="A44" t="s">
        <v>8</v>
      </c>
      <c r="C44" s="262">
        <v>11625</v>
      </c>
      <c r="D44" s="273">
        <f>C44/C45</f>
        <v>0.08849793314504525</v>
      </c>
      <c r="E44" s="262">
        <f t="shared" si="0"/>
        <v>-263.24</v>
      </c>
      <c r="F44" s="271">
        <f t="shared" si="1"/>
        <v>0.125</v>
      </c>
      <c r="G44" s="262">
        <f t="shared" si="2"/>
        <v>21.36</v>
      </c>
      <c r="H44" s="262">
        <f t="shared" si="3"/>
        <v>2.48</v>
      </c>
      <c r="I44" s="262">
        <f t="shared" si="4"/>
        <v>1.12</v>
      </c>
      <c r="J44" s="122"/>
      <c r="K44" s="262">
        <f t="shared" si="5"/>
        <v>572.2</v>
      </c>
    </row>
    <row r="45" spans="3:11" ht="12.75">
      <c r="C45" s="122">
        <f aca="true" t="shared" si="6" ref="C45:I45">SUM(C31:C44)</f>
        <v>131359</v>
      </c>
      <c r="D45" s="261">
        <f t="shared" si="6"/>
        <v>1</v>
      </c>
      <c r="E45" s="129">
        <f t="shared" si="6"/>
        <v>-2974.54</v>
      </c>
      <c r="F45" s="129">
        <f t="shared" si="6"/>
        <v>1.412</v>
      </c>
      <c r="G45" s="129">
        <f t="shared" si="6"/>
        <v>241.35999999999996</v>
      </c>
      <c r="H45" s="129">
        <f t="shared" si="6"/>
        <v>28.030000000000005</v>
      </c>
      <c r="I45" s="129">
        <f t="shared" si="6"/>
        <v>12.679999999999996</v>
      </c>
      <c r="J45" s="122"/>
      <c r="K45" s="129">
        <f>SUM(K31:K44)</f>
        <v>6465.69</v>
      </c>
    </row>
  </sheetData>
  <mergeCells count="7">
    <mergeCell ref="G1:G2"/>
    <mergeCell ref="H1:I1"/>
    <mergeCell ref="B24:C24"/>
    <mergeCell ref="A1:A2"/>
    <mergeCell ref="B1:B2"/>
    <mergeCell ref="C1:D2"/>
    <mergeCell ref="E1:F1"/>
  </mergeCells>
  <conditionalFormatting sqref="B26:D26 C17:D24 A17:B20">
    <cfRule type="cellIs" priority="1" dxfId="2" operator="equal" stopIfTrue="1">
      <formula>$E$43</formula>
    </cfRule>
  </conditionalFormatting>
  <conditionalFormatting sqref="A21:A24 B21:B22 B24">
    <cfRule type="cellIs" priority="2" dxfId="2" operator="equal" stopIfTrue="1">
      <formula>$E$36</formula>
    </cfRule>
  </conditionalFormatting>
  <conditionalFormatting sqref="P20 P26:P27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140625" defaultRowHeight="12.75"/>
  <cols>
    <col min="1" max="5" width="9.140625" style="276" customWidth="1"/>
    <col min="6" max="6" width="11.57421875" style="276" bestFit="1" customWidth="1"/>
    <col min="7" max="16384" width="9.140625" style="276" customWidth="1"/>
  </cols>
  <sheetData>
    <row r="1" ht="15.75">
      <c r="A1" s="275" t="s">
        <v>313</v>
      </c>
    </row>
    <row r="3" ht="15">
      <c r="F3" s="277" t="s">
        <v>314</v>
      </c>
    </row>
    <row r="5" spans="1:6" ht="15">
      <c r="A5" s="276" t="s">
        <v>315</v>
      </c>
      <c r="F5" s="278">
        <v>10335.4</v>
      </c>
    </row>
    <row r="6" ht="15">
      <c r="F6" s="278"/>
    </row>
    <row r="7" spans="1:6" ht="15">
      <c r="A7" s="276" t="s">
        <v>316</v>
      </c>
      <c r="F7" s="278">
        <f>SUM(Units!E17,Units!E33,Units!E49,Units!E65,Units!E81,Units!E97,Units!E113,Units!E129,Units!E145,Units!E161,Units!E177,Units!E193)</f>
        <v>4650.8099999999995</v>
      </c>
    </row>
    <row r="8" ht="15">
      <c r="F8" s="278"/>
    </row>
    <row r="9" spans="1:8" ht="15">
      <c r="A9" s="276" t="s">
        <v>317</v>
      </c>
      <c r="F9" s="278">
        <f>SUM(Summary!J9:J24)</f>
        <v>6561.6926</v>
      </c>
      <c r="H9" s="276" t="s">
        <v>318</v>
      </c>
    </row>
    <row r="10" ht="15">
      <c r="F10" s="278"/>
    </row>
    <row r="11" spans="1:6" ht="15">
      <c r="A11" s="276" t="s">
        <v>319</v>
      </c>
      <c r="F11" s="278">
        <f>Summary!D48</f>
        <v>241.70999999999998</v>
      </c>
    </row>
    <row r="12" ht="15">
      <c r="F12" s="278"/>
    </row>
    <row r="13" spans="1:6" ht="15">
      <c r="A13" s="276" t="s">
        <v>59</v>
      </c>
      <c r="F13" s="278">
        <f>SUM(Summary!B63,Summary!D63,Summary!F63)</f>
        <v>11.620000000000001</v>
      </c>
    </row>
    <row r="14" ht="15">
      <c r="F14" s="278"/>
    </row>
    <row r="15" spans="1:6" ht="15">
      <c r="A15" s="276" t="s">
        <v>320</v>
      </c>
      <c r="F15" s="278">
        <v>-7385.68</v>
      </c>
    </row>
    <row r="16" spans="6:8" ht="15">
      <c r="F16" s="278"/>
      <c r="H16" s="276" t="s">
        <v>293</v>
      </c>
    </row>
    <row r="17" spans="1:8" ht="15">
      <c r="A17" s="276" t="s">
        <v>76</v>
      </c>
      <c r="F17" s="278">
        <f>SUM(Summary!F29,Summary!K29)</f>
        <v>212.42000000000002</v>
      </c>
      <c r="H17" s="276" t="s">
        <v>321</v>
      </c>
    </row>
    <row r="18" ht="15">
      <c r="F18" s="278"/>
    </row>
    <row r="19" spans="1:6" ht="15">
      <c r="A19" s="276" t="s">
        <v>322</v>
      </c>
      <c r="F19" s="278">
        <v>-1115.27</v>
      </c>
    </row>
    <row r="20" ht="15">
      <c r="F20" s="279"/>
    </row>
    <row r="21" spans="1:6" ht="15">
      <c r="A21" s="276" t="s">
        <v>323</v>
      </c>
      <c r="F21" s="278">
        <f>SUM(F5:F20)</f>
        <v>13512.702599999999</v>
      </c>
    </row>
    <row r="23" spans="1:6" ht="15">
      <c r="A23" s="276" t="s">
        <v>324</v>
      </c>
      <c r="F23" s="280">
        <v>10709.29</v>
      </c>
    </row>
    <row r="25" spans="1:6" ht="15">
      <c r="A25" s="276" t="s">
        <v>325</v>
      </c>
      <c r="F25" s="281">
        <f>F23-F21</f>
        <v>-2803.412599999998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3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1"/>
  <cols>
    <col min="1" max="1" width="17.421875" style="18" customWidth="1"/>
    <col min="2" max="2" width="6.00390625" style="14" customWidth="1"/>
    <col min="3" max="3" width="7.28125" style="18" customWidth="1"/>
    <col min="4" max="4" width="7.28125" style="21" customWidth="1"/>
    <col min="5" max="5" width="9.00390625" style="22" bestFit="1" customWidth="1"/>
    <col min="6" max="6" width="7.28125" style="31" customWidth="1"/>
    <col min="7" max="7" width="6.7109375" style="32" customWidth="1"/>
    <col min="8" max="8" width="6.7109375" style="14" customWidth="1"/>
    <col min="9" max="9" width="7.00390625" style="18" customWidth="1"/>
    <col min="10" max="10" width="7.28125" style="14" customWidth="1"/>
    <col min="11" max="11" width="7.28125" style="17" customWidth="1"/>
    <col min="14" max="14" width="9.28125" style="194" bestFit="1" customWidth="1"/>
    <col min="15" max="15" width="8.421875" style="122" bestFit="1" customWidth="1"/>
    <col min="16" max="16" width="9.28125" style="122" bestFit="1" customWidth="1"/>
    <col min="17" max="17" width="10.7109375" style="0" bestFit="1" customWidth="1"/>
  </cols>
  <sheetData>
    <row r="1" spans="1:17" ht="15" customHeight="1">
      <c r="A1" s="237" t="s">
        <v>194</v>
      </c>
      <c r="B1" s="27" t="s">
        <v>19</v>
      </c>
      <c r="C1" s="28"/>
      <c r="D1" s="23" t="s">
        <v>44</v>
      </c>
      <c r="E1" s="37" t="s">
        <v>21</v>
      </c>
      <c r="F1" s="29" t="s">
        <v>22</v>
      </c>
      <c r="G1" s="30"/>
      <c r="H1" s="24" t="s">
        <v>23</v>
      </c>
      <c r="I1" s="25"/>
      <c r="J1" s="24" t="s">
        <v>19</v>
      </c>
      <c r="K1" s="26"/>
      <c r="L1" t="s">
        <v>58</v>
      </c>
      <c r="N1" s="193" t="s">
        <v>160</v>
      </c>
      <c r="O1" s="122" t="s">
        <v>161</v>
      </c>
      <c r="P1" s="122" t="s">
        <v>68</v>
      </c>
      <c r="Q1" s="122" t="s">
        <v>162</v>
      </c>
    </row>
    <row r="2" ht="12.75">
      <c r="A2" s="36">
        <v>37347</v>
      </c>
    </row>
    <row r="3" spans="1:17" ht="12.75" hidden="1" outlineLevel="1">
      <c r="A3" s="19" t="s">
        <v>5</v>
      </c>
      <c r="B3" s="38">
        <v>776</v>
      </c>
      <c r="C3" s="59">
        <v>0.68</v>
      </c>
      <c r="E3" s="22">
        <v>30</v>
      </c>
      <c r="F3" s="31">
        <v>115</v>
      </c>
      <c r="G3" s="32">
        <f>F3</f>
        <v>115</v>
      </c>
      <c r="H3" s="38">
        <f>INT(100*(C3+E3)/F$3)</f>
        <v>26</v>
      </c>
      <c r="J3" s="38">
        <f aca="true" t="shared" si="0" ref="J3:J12">B3+H3</f>
        <v>802</v>
      </c>
      <c r="K3" s="35">
        <f>(E3+C3)-ROUND(H3*F$3/100,2)</f>
        <v>0.7800000000000011</v>
      </c>
      <c r="L3" s="44">
        <f aca="true" t="shared" si="1" ref="L3:L16">J3</f>
        <v>802</v>
      </c>
      <c r="M3" s="84">
        <f aca="true" t="shared" si="2" ref="M3:M16">L3/L$17</f>
        <v>0.08567460741373785</v>
      </c>
      <c r="N3" s="195">
        <f>J3*(F3/100)+K3</f>
        <v>923.0799999999999</v>
      </c>
      <c r="O3" s="129">
        <f>1040+E3</f>
        <v>1070</v>
      </c>
      <c r="P3" s="82">
        <f>N3-O3</f>
        <v>-146.92000000000007</v>
      </c>
      <c r="Q3" s="198">
        <f>P3/O3</f>
        <v>-0.13730841121495335</v>
      </c>
    </row>
    <row r="4" spans="1:17" ht="12.75" hidden="1" outlineLevel="1">
      <c r="A4" s="19" t="s">
        <v>54</v>
      </c>
      <c r="B4" s="38">
        <v>538</v>
      </c>
      <c r="C4" s="59">
        <v>0.13000000000000256</v>
      </c>
      <c r="E4" s="22">
        <v>30</v>
      </c>
      <c r="H4" s="38">
        <f aca="true" t="shared" si="3" ref="H4:H16">INT(100*(C4+E4)/F$3)</f>
        <v>26</v>
      </c>
      <c r="J4" s="38">
        <f>B4+H4-I4</f>
        <v>564</v>
      </c>
      <c r="K4" s="35">
        <f aca="true" t="shared" si="4" ref="K4:K16">(E4+C4)-ROUND(H4*F$3/100,2)</f>
        <v>0.23000000000000398</v>
      </c>
      <c r="L4" s="44">
        <f t="shared" si="1"/>
        <v>564</v>
      </c>
      <c r="M4" s="84">
        <f t="shared" si="2"/>
        <v>0.06024997329345155</v>
      </c>
      <c r="N4" s="195">
        <f>J4*(F3/100)+K4</f>
        <v>648.8299999999999</v>
      </c>
      <c r="O4" s="129">
        <f>800+E4</f>
        <v>830</v>
      </c>
      <c r="P4" s="82">
        <f aca="true" t="shared" si="5" ref="P4:P16">N4-O4</f>
        <v>-181.17000000000007</v>
      </c>
      <c r="Q4" s="198">
        <f aca="true" t="shared" si="6" ref="Q4:Q16">P4/O4</f>
        <v>-0.21827710843373502</v>
      </c>
    </row>
    <row r="5" spans="1:17" ht="12.75" hidden="1" outlineLevel="1">
      <c r="A5" s="19" t="s">
        <v>11</v>
      </c>
      <c r="B5" s="38">
        <v>776</v>
      </c>
      <c r="C5" s="59">
        <v>0.68</v>
      </c>
      <c r="E5" s="22">
        <v>30</v>
      </c>
      <c r="H5" s="38">
        <f t="shared" si="3"/>
        <v>26</v>
      </c>
      <c r="J5" s="38">
        <f t="shared" si="0"/>
        <v>802</v>
      </c>
      <c r="K5" s="35">
        <f t="shared" si="4"/>
        <v>0.7800000000000011</v>
      </c>
      <c r="L5" s="44">
        <f t="shared" si="1"/>
        <v>802</v>
      </c>
      <c r="M5" s="84">
        <f t="shared" si="2"/>
        <v>0.08567460741373785</v>
      </c>
      <c r="N5" s="195">
        <f>J5*(F3/100)+K5</f>
        <v>923.0799999999999</v>
      </c>
      <c r="O5" s="129">
        <f>1040+E5</f>
        <v>1070</v>
      </c>
      <c r="P5" s="82">
        <f t="shared" si="5"/>
        <v>-146.92000000000007</v>
      </c>
      <c r="Q5" s="198">
        <f t="shared" si="6"/>
        <v>-0.13730841121495335</v>
      </c>
    </row>
    <row r="6" spans="1:17" ht="12.75" hidden="1" outlineLevel="1">
      <c r="A6" s="19" t="s">
        <v>7</v>
      </c>
      <c r="B6" s="38">
        <v>776</v>
      </c>
      <c r="C6" s="59">
        <v>0.68</v>
      </c>
      <c r="E6" s="22">
        <v>30</v>
      </c>
      <c r="H6" s="38">
        <f t="shared" si="3"/>
        <v>26</v>
      </c>
      <c r="J6" s="38">
        <f t="shared" si="0"/>
        <v>802</v>
      </c>
      <c r="K6" s="35">
        <f t="shared" si="4"/>
        <v>0.7800000000000011</v>
      </c>
      <c r="L6" s="44">
        <f t="shared" si="1"/>
        <v>802</v>
      </c>
      <c r="M6" s="84">
        <f t="shared" si="2"/>
        <v>0.08567460741373785</v>
      </c>
      <c r="N6" s="195">
        <f>J6*(F3/100)+K6</f>
        <v>923.0799999999999</v>
      </c>
      <c r="O6" s="129">
        <f>1040+E6</f>
        <v>1070</v>
      </c>
      <c r="P6" s="82">
        <f t="shared" si="5"/>
        <v>-146.92000000000007</v>
      </c>
      <c r="Q6" s="198">
        <f t="shared" si="6"/>
        <v>-0.13730841121495335</v>
      </c>
    </row>
    <row r="7" spans="1:17" ht="12.75" hidden="1" outlineLevel="1">
      <c r="A7" s="18" t="s">
        <v>52</v>
      </c>
      <c r="B7" s="38">
        <v>537</v>
      </c>
      <c r="C7" s="59">
        <v>0.7900000000000027</v>
      </c>
      <c r="E7" s="22">
        <v>30</v>
      </c>
      <c r="H7" s="38">
        <f t="shared" si="3"/>
        <v>26</v>
      </c>
      <c r="J7" s="38">
        <f t="shared" si="0"/>
        <v>563</v>
      </c>
      <c r="K7" s="35">
        <f t="shared" si="4"/>
        <v>0.8900000000000041</v>
      </c>
      <c r="L7" s="44">
        <f t="shared" si="1"/>
        <v>563</v>
      </c>
      <c r="M7" s="84">
        <f t="shared" si="2"/>
        <v>0.06014314709966884</v>
      </c>
      <c r="N7" s="195">
        <f>J7*(F3/100)+K7</f>
        <v>648.3399999999999</v>
      </c>
      <c r="O7" s="129">
        <f>800+E7</f>
        <v>830</v>
      </c>
      <c r="P7" s="82">
        <f t="shared" si="5"/>
        <v>-181.66000000000008</v>
      </c>
      <c r="Q7" s="198">
        <f t="shared" si="6"/>
        <v>-0.21886746987951816</v>
      </c>
    </row>
    <row r="8" spans="1:17" ht="12.75" hidden="1" outlineLevel="1">
      <c r="A8" s="18" t="s">
        <v>56</v>
      </c>
      <c r="B8" s="38">
        <v>561</v>
      </c>
      <c r="C8" s="59">
        <v>0.6899999999999977</v>
      </c>
      <c r="E8" s="22">
        <v>30</v>
      </c>
      <c r="H8" s="38">
        <f t="shared" si="3"/>
        <v>26</v>
      </c>
      <c r="J8" s="38">
        <f t="shared" si="0"/>
        <v>587</v>
      </c>
      <c r="K8" s="35">
        <f t="shared" si="4"/>
        <v>0.7899999999999991</v>
      </c>
      <c r="L8" s="44">
        <f t="shared" si="1"/>
        <v>587</v>
      </c>
      <c r="M8" s="84">
        <f t="shared" si="2"/>
        <v>0.06270697575045402</v>
      </c>
      <c r="N8" s="195">
        <f>J8*(F3/100)+K8</f>
        <v>675.8399999999999</v>
      </c>
      <c r="O8" s="129">
        <f>830+E8</f>
        <v>860</v>
      </c>
      <c r="P8" s="82">
        <f t="shared" si="5"/>
        <v>-184.16000000000008</v>
      </c>
      <c r="Q8" s="198">
        <f t="shared" si="6"/>
        <v>-0.21413953488372103</v>
      </c>
    </row>
    <row r="9" spans="1:17" ht="12.75" hidden="1" outlineLevel="1">
      <c r="A9" s="18" t="s">
        <v>6</v>
      </c>
      <c r="B9" s="38">
        <v>776</v>
      </c>
      <c r="C9" s="59">
        <v>0.68</v>
      </c>
      <c r="E9" s="22">
        <v>30</v>
      </c>
      <c r="H9" s="38">
        <f t="shared" si="3"/>
        <v>26</v>
      </c>
      <c r="J9" s="38">
        <f t="shared" si="0"/>
        <v>802</v>
      </c>
      <c r="K9" s="35">
        <f t="shared" si="4"/>
        <v>0.7800000000000011</v>
      </c>
      <c r="L9" s="44">
        <f t="shared" si="1"/>
        <v>802</v>
      </c>
      <c r="M9" s="84">
        <f t="shared" si="2"/>
        <v>0.08567460741373785</v>
      </c>
      <c r="N9" s="195">
        <f>J9*(F3/100)+K9</f>
        <v>923.0799999999999</v>
      </c>
      <c r="O9" s="129">
        <f>1040+E9</f>
        <v>1070</v>
      </c>
      <c r="P9" s="82">
        <f t="shared" si="5"/>
        <v>-146.92000000000007</v>
      </c>
      <c r="Q9" s="198">
        <f t="shared" si="6"/>
        <v>-0.13730841121495335</v>
      </c>
    </row>
    <row r="10" spans="1:17" ht="12.75" hidden="1" outlineLevel="1">
      <c r="A10" s="19" t="s">
        <v>50</v>
      </c>
      <c r="B10" s="38">
        <v>537</v>
      </c>
      <c r="C10" s="59">
        <v>0.7900000000000027</v>
      </c>
      <c r="E10" s="22">
        <v>30</v>
      </c>
      <c r="H10" s="38">
        <f t="shared" si="3"/>
        <v>26</v>
      </c>
      <c r="J10" s="38">
        <f t="shared" si="0"/>
        <v>563</v>
      </c>
      <c r="K10" s="35">
        <f t="shared" si="4"/>
        <v>0.8900000000000041</v>
      </c>
      <c r="L10" s="44">
        <f t="shared" si="1"/>
        <v>563</v>
      </c>
      <c r="M10" s="84">
        <f t="shared" si="2"/>
        <v>0.06014314709966884</v>
      </c>
      <c r="N10" s="195">
        <f>J10*(F3/100)+K10</f>
        <v>648.3399999999999</v>
      </c>
      <c r="O10" s="129">
        <f>800+E10</f>
        <v>830</v>
      </c>
      <c r="P10" s="82">
        <f t="shared" si="5"/>
        <v>-181.66000000000008</v>
      </c>
      <c r="Q10" s="198">
        <f t="shared" si="6"/>
        <v>-0.21886746987951816</v>
      </c>
    </row>
    <row r="11" spans="1:17" ht="12.75" hidden="1" outlineLevel="1">
      <c r="A11" s="19" t="s">
        <v>10</v>
      </c>
      <c r="B11" s="38">
        <v>776</v>
      </c>
      <c r="C11" s="59">
        <v>0.9400000000000013</v>
      </c>
      <c r="E11" s="22">
        <v>30</v>
      </c>
      <c r="H11" s="38">
        <f t="shared" si="3"/>
        <v>26</v>
      </c>
      <c r="J11" s="38">
        <f t="shared" si="0"/>
        <v>802</v>
      </c>
      <c r="K11" s="35">
        <f t="shared" si="4"/>
        <v>1.0400000000000027</v>
      </c>
      <c r="L11" s="44">
        <f t="shared" si="1"/>
        <v>802</v>
      </c>
      <c r="M11" s="84">
        <f t="shared" si="2"/>
        <v>0.08567460741373785</v>
      </c>
      <c r="N11" s="195">
        <f>J11*(F3/100)+K11</f>
        <v>923.3399999999999</v>
      </c>
      <c r="O11" s="129">
        <f>1040.28+E11</f>
        <v>1070.28</v>
      </c>
      <c r="P11" s="82">
        <f t="shared" si="5"/>
        <v>-146.94000000000005</v>
      </c>
      <c r="Q11" s="198">
        <f t="shared" si="6"/>
        <v>-0.137291176140823</v>
      </c>
    </row>
    <row r="12" spans="1:17" ht="12.75" hidden="1" outlineLevel="1">
      <c r="A12" s="19" t="s">
        <v>105</v>
      </c>
      <c r="B12" s="38">
        <v>310</v>
      </c>
      <c r="C12" s="59">
        <v>1.06</v>
      </c>
      <c r="E12" s="22">
        <v>30</v>
      </c>
      <c r="H12" s="38">
        <f t="shared" si="3"/>
        <v>27</v>
      </c>
      <c r="J12" s="38">
        <f t="shared" si="0"/>
        <v>337</v>
      </c>
      <c r="K12" s="35">
        <f t="shared" si="4"/>
        <v>0.00999999999999801</v>
      </c>
      <c r="L12" s="44">
        <f t="shared" si="1"/>
        <v>337</v>
      </c>
      <c r="M12" s="84">
        <f t="shared" si="2"/>
        <v>0.03600042730477513</v>
      </c>
      <c r="N12" s="195">
        <f>J12*(F3/100)+K12</f>
        <v>387.55999999999995</v>
      </c>
      <c r="O12" s="129">
        <f>410+E12</f>
        <v>440</v>
      </c>
      <c r="P12" s="82">
        <f t="shared" si="5"/>
        <v>-52.440000000000055</v>
      </c>
      <c r="Q12" s="198">
        <f t="shared" si="6"/>
        <v>-0.1191818181818183</v>
      </c>
    </row>
    <row r="13" spans="1:17" ht="12.75" hidden="1" outlineLevel="1">
      <c r="A13" s="19" t="s">
        <v>9</v>
      </c>
      <c r="B13" s="38">
        <v>776</v>
      </c>
      <c r="C13" s="59">
        <v>0.68</v>
      </c>
      <c r="E13" s="22">
        <v>30</v>
      </c>
      <c r="H13" s="38">
        <f t="shared" si="3"/>
        <v>26</v>
      </c>
      <c r="J13" s="38">
        <f>B13+H13-I13</f>
        <v>802</v>
      </c>
      <c r="K13" s="35">
        <f t="shared" si="4"/>
        <v>0.7800000000000011</v>
      </c>
      <c r="L13" s="44">
        <f t="shared" si="1"/>
        <v>802</v>
      </c>
      <c r="M13" s="84">
        <f t="shared" si="2"/>
        <v>0.08567460741373785</v>
      </c>
      <c r="N13" s="195">
        <f>J13*(F3/100)+K13</f>
        <v>923.0799999999999</v>
      </c>
      <c r="O13" s="129">
        <f>1040+E13</f>
        <v>1070</v>
      </c>
      <c r="P13" s="82">
        <f t="shared" si="5"/>
        <v>-146.92000000000007</v>
      </c>
      <c r="Q13" s="198">
        <f t="shared" si="6"/>
        <v>-0.13730841121495335</v>
      </c>
    </row>
    <row r="14" spans="1:17" ht="12.75" hidden="1" outlineLevel="1">
      <c r="A14" s="19" t="s">
        <v>49</v>
      </c>
      <c r="B14" s="38">
        <v>561</v>
      </c>
      <c r="C14" s="59">
        <v>0.8600000000000065</v>
      </c>
      <c r="E14" s="22">
        <v>30</v>
      </c>
      <c r="H14" s="38">
        <f t="shared" si="3"/>
        <v>26</v>
      </c>
      <c r="J14" s="38">
        <f>B14+H14</f>
        <v>587</v>
      </c>
      <c r="K14" s="35">
        <f t="shared" si="4"/>
        <v>0.960000000000008</v>
      </c>
      <c r="L14" s="44">
        <f t="shared" si="1"/>
        <v>587</v>
      </c>
      <c r="M14" s="84">
        <f t="shared" si="2"/>
        <v>0.06270697575045402</v>
      </c>
      <c r="N14" s="195">
        <f>J14*(F3/100)+K14</f>
        <v>676.01</v>
      </c>
      <c r="O14" s="129">
        <f>830+E14</f>
        <v>860</v>
      </c>
      <c r="P14" s="82">
        <f t="shared" si="5"/>
        <v>-183.99</v>
      </c>
      <c r="Q14" s="198">
        <f t="shared" si="6"/>
        <v>-0.2139418604651163</v>
      </c>
    </row>
    <row r="15" spans="1:17" ht="12.75" hidden="1" outlineLevel="1">
      <c r="A15" s="19" t="s">
        <v>53</v>
      </c>
      <c r="B15" s="38">
        <v>520</v>
      </c>
      <c r="C15" s="59">
        <v>0.519999999999996</v>
      </c>
      <c r="E15" s="22">
        <v>30</v>
      </c>
      <c r="H15" s="38">
        <f t="shared" si="3"/>
        <v>26</v>
      </c>
      <c r="J15" s="38">
        <f>B15+H15</f>
        <v>546</v>
      </c>
      <c r="K15" s="35">
        <f t="shared" si="4"/>
        <v>0.6199999999999974</v>
      </c>
      <c r="L15" s="44">
        <f t="shared" si="1"/>
        <v>546</v>
      </c>
      <c r="M15" s="84">
        <f t="shared" si="2"/>
        <v>0.05832710180536267</v>
      </c>
      <c r="N15" s="195">
        <f>J15*(F3/100)+K15</f>
        <v>628.52</v>
      </c>
      <c r="O15" s="129">
        <f>770+E15</f>
        <v>800</v>
      </c>
      <c r="P15" s="82">
        <f t="shared" si="5"/>
        <v>-171.48000000000002</v>
      </c>
      <c r="Q15" s="198">
        <f t="shared" si="6"/>
        <v>-0.21435</v>
      </c>
    </row>
    <row r="16" spans="1:17" ht="12.75" hidden="1" outlineLevel="1">
      <c r="A16" s="19" t="s">
        <v>8</v>
      </c>
      <c r="B16" s="38">
        <v>776</v>
      </c>
      <c r="C16" s="59">
        <v>0.68</v>
      </c>
      <c r="E16" s="22">
        <v>30</v>
      </c>
      <c r="H16" s="38">
        <f t="shared" si="3"/>
        <v>26</v>
      </c>
      <c r="J16" s="38">
        <f>B16+H16</f>
        <v>802</v>
      </c>
      <c r="K16" s="35">
        <f t="shared" si="4"/>
        <v>0.7800000000000011</v>
      </c>
      <c r="L16" s="44">
        <f t="shared" si="1"/>
        <v>802</v>
      </c>
      <c r="M16" s="84">
        <f t="shared" si="2"/>
        <v>0.08567460741373785</v>
      </c>
      <c r="N16" s="195">
        <f>J16*(F3/100)+K16</f>
        <v>923.0799999999999</v>
      </c>
      <c r="O16" s="129">
        <f>1040+E16</f>
        <v>1070</v>
      </c>
      <c r="P16" s="82">
        <f t="shared" si="5"/>
        <v>-146.92000000000007</v>
      </c>
      <c r="Q16" s="198">
        <f t="shared" si="6"/>
        <v>-0.13730841121495335</v>
      </c>
    </row>
    <row r="17" spans="5:14" ht="12.75" collapsed="1">
      <c r="E17" s="22">
        <f>SUM(E3:E16)</f>
        <v>420</v>
      </c>
      <c r="J17" s="69">
        <f>SUM(J3:J16)</f>
        <v>9361</v>
      </c>
      <c r="K17" s="35">
        <f>SUM(K3:K16)</f>
        <v>10.110000000000024</v>
      </c>
      <c r="L17" s="70">
        <f>SUM(L3:L16)</f>
        <v>9361</v>
      </c>
      <c r="M17" s="84">
        <f>SUM(M3:M16)</f>
        <v>1.0000000000000002</v>
      </c>
      <c r="N17" s="195"/>
    </row>
    <row r="18" spans="1:14" ht="12.75">
      <c r="A18" s="36">
        <v>37377</v>
      </c>
      <c r="N18" s="195"/>
    </row>
    <row r="19" spans="1:17" ht="12.75" hidden="1" outlineLevel="1">
      <c r="A19" s="19" t="s">
        <v>5</v>
      </c>
      <c r="B19" s="38">
        <f aca="true" t="shared" si="7" ref="B19:B32">J3</f>
        <v>802</v>
      </c>
      <c r="C19" s="59">
        <f aca="true" t="shared" si="8" ref="C19:C32">K3</f>
        <v>0.7800000000000011</v>
      </c>
      <c r="E19" s="22">
        <v>30</v>
      </c>
      <c r="F19" s="31">
        <f>Assets!I25</f>
        <v>115.99999999999999</v>
      </c>
      <c r="G19" s="32">
        <f>F19</f>
        <v>115.99999999999999</v>
      </c>
      <c r="H19" s="38">
        <f aca="true" t="shared" si="9" ref="H19:H32">INT(100*(C19+E19)/F$19)</f>
        <v>26</v>
      </c>
      <c r="J19" s="38">
        <f>B19+H19</f>
        <v>828</v>
      </c>
      <c r="K19" s="35">
        <f>(E19+C19)-ROUND(H19*F$19/100,2)</f>
        <v>0.620000000000001</v>
      </c>
      <c r="L19" s="44">
        <f>L3+J19</f>
        <v>1630</v>
      </c>
      <c r="M19" s="84">
        <f aca="true" t="shared" si="10" ref="M19:M32">L19/L$33</f>
        <v>0.08559126233984457</v>
      </c>
      <c r="N19" s="195">
        <f>J19*(F19/100)+K19</f>
        <v>961.0999999999999</v>
      </c>
      <c r="O19" s="129">
        <f aca="true" t="shared" si="11" ref="O19:O29">O3+E19</f>
        <v>1100</v>
      </c>
      <c r="P19" s="82">
        <f>N19-O19</f>
        <v>-138.9000000000001</v>
      </c>
      <c r="Q19" s="198">
        <f>P19/O19</f>
        <v>-0.12627272727272734</v>
      </c>
    </row>
    <row r="20" spans="1:17" ht="12.75" hidden="1" outlineLevel="1">
      <c r="A20" s="19" t="s">
        <v>54</v>
      </c>
      <c r="B20" s="38">
        <f t="shared" si="7"/>
        <v>564</v>
      </c>
      <c r="C20" s="59">
        <f t="shared" si="8"/>
        <v>0.23000000000000398</v>
      </c>
      <c r="E20" s="22">
        <v>30</v>
      </c>
      <c r="H20" s="38">
        <f t="shared" si="9"/>
        <v>26</v>
      </c>
      <c r="J20" s="38">
        <f>B20+H20</f>
        <v>590</v>
      </c>
      <c r="K20" s="35">
        <f>(E20+C20)-ROUND(H20*F$19/100,2)</f>
        <v>0.07000000000000384</v>
      </c>
      <c r="L20" s="44">
        <f>L4+J20</f>
        <v>1154</v>
      </c>
      <c r="M20" s="84">
        <f t="shared" si="10"/>
        <v>0.06059651333753413</v>
      </c>
      <c r="N20" s="195">
        <f>J20*(F19/100)+K20</f>
        <v>684.47</v>
      </c>
      <c r="O20" s="129">
        <f t="shared" si="11"/>
        <v>860</v>
      </c>
      <c r="P20" s="82">
        <f>N20-O20</f>
        <v>-175.52999999999997</v>
      </c>
      <c r="Q20" s="198">
        <f>P20/O20</f>
        <v>-0.20410465116279067</v>
      </c>
    </row>
    <row r="21" spans="1:17" ht="12.75" hidden="1" outlineLevel="1">
      <c r="A21" s="19" t="s">
        <v>11</v>
      </c>
      <c r="B21" s="38">
        <f t="shared" si="7"/>
        <v>802</v>
      </c>
      <c r="C21" s="59">
        <f t="shared" si="8"/>
        <v>0.7800000000000011</v>
      </c>
      <c r="E21" s="22">
        <v>30</v>
      </c>
      <c r="H21" s="38">
        <f t="shared" si="9"/>
        <v>26</v>
      </c>
      <c r="J21" s="38">
        <f>B21+H21</f>
        <v>828</v>
      </c>
      <c r="K21" s="35">
        <f>(E21+C21)-ROUND(H21*F$19/100,2)</f>
        <v>0.620000000000001</v>
      </c>
      <c r="L21" s="44">
        <f>L5+J21</f>
        <v>1630</v>
      </c>
      <c r="M21" s="84">
        <f t="shared" si="10"/>
        <v>0.08559126233984457</v>
      </c>
      <c r="N21" s="195">
        <f>J21*(F19/100)+K21</f>
        <v>961.0999999999999</v>
      </c>
      <c r="O21" s="129">
        <f t="shared" si="11"/>
        <v>1100</v>
      </c>
      <c r="P21" s="82">
        <f aca="true" t="shared" si="12" ref="P21:P29">N21-O21</f>
        <v>-138.9000000000001</v>
      </c>
      <c r="Q21" s="198">
        <f aca="true" t="shared" si="13" ref="Q21:Q29">P21/O21</f>
        <v>-0.12627272727272734</v>
      </c>
    </row>
    <row r="22" spans="1:17" ht="12.75" hidden="1" outlineLevel="1">
      <c r="A22" s="18" t="s">
        <v>7</v>
      </c>
      <c r="B22" s="38">
        <f t="shared" si="7"/>
        <v>802</v>
      </c>
      <c r="C22" s="59">
        <f t="shared" si="8"/>
        <v>0.7800000000000011</v>
      </c>
      <c r="E22" s="22">
        <v>30</v>
      </c>
      <c r="H22" s="38">
        <f t="shared" si="9"/>
        <v>26</v>
      </c>
      <c r="J22" s="38">
        <f aca="true" t="shared" si="14" ref="J22:J27">B22+H22</f>
        <v>828</v>
      </c>
      <c r="K22" s="35">
        <f>(E22+C22)-ROUND(H22*F$19/100,2)</f>
        <v>0.620000000000001</v>
      </c>
      <c r="L22" s="44">
        <f>L6+J22</f>
        <v>1630</v>
      </c>
      <c r="M22" s="84">
        <f t="shared" si="10"/>
        <v>0.08559126233984457</v>
      </c>
      <c r="N22" s="195">
        <f>J22*(F19/100)+K22</f>
        <v>961.0999999999999</v>
      </c>
      <c r="O22" s="129">
        <f t="shared" si="11"/>
        <v>1100</v>
      </c>
      <c r="P22" s="82">
        <f t="shared" si="12"/>
        <v>-138.9000000000001</v>
      </c>
      <c r="Q22" s="198">
        <f t="shared" si="13"/>
        <v>-0.12627272727272734</v>
      </c>
    </row>
    <row r="23" spans="1:17" ht="12.75" hidden="1" outlineLevel="1">
      <c r="A23" s="18" t="s">
        <v>52</v>
      </c>
      <c r="B23" s="38">
        <f t="shared" si="7"/>
        <v>563</v>
      </c>
      <c r="C23" s="59">
        <f t="shared" si="8"/>
        <v>0.8900000000000041</v>
      </c>
      <c r="E23" s="22">
        <v>30</v>
      </c>
      <c r="H23" s="38">
        <f t="shared" si="9"/>
        <v>26</v>
      </c>
      <c r="J23" s="38">
        <f t="shared" si="14"/>
        <v>589</v>
      </c>
      <c r="K23" s="35">
        <f aca="true" t="shared" si="15" ref="K23:K32">(E23+C23)-ROUND(H23*F$19/100,2)</f>
        <v>0.730000000000004</v>
      </c>
      <c r="L23" s="44">
        <f aca="true" t="shared" si="16" ref="L23:L29">L7+J23</f>
        <v>1152</v>
      </c>
      <c r="M23" s="84">
        <f t="shared" si="10"/>
        <v>0.06049149338374291</v>
      </c>
      <c r="N23" s="195">
        <f>J23*(F19/100)+K23</f>
        <v>683.97</v>
      </c>
      <c r="O23" s="129">
        <f t="shared" si="11"/>
        <v>860</v>
      </c>
      <c r="P23" s="82">
        <f t="shared" si="12"/>
        <v>-176.02999999999997</v>
      </c>
      <c r="Q23" s="198">
        <f t="shared" si="13"/>
        <v>-0.20468604651162786</v>
      </c>
    </row>
    <row r="24" spans="1:17" ht="12.75" hidden="1" outlineLevel="1">
      <c r="A24" s="18" t="s">
        <v>56</v>
      </c>
      <c r="B24" s="38">
        <f t="shared" si="7"/>
        <v>587</v>
      </c>
      <c r="C24" s="59">
        <f t="shared" si="8"/>
        <v>0.7899999999999991</v>
      </c>
      <c r="E24" s="22">
        <v>30</v>
      </c>
      <c r="H24" s="38">
        <f t="shared" si="9"/>
        <v>26</v>
      </c>
      <c r="J24" s="38">
        <f t="shared" si="14"/>
        <v>613</v>
      </c>
      <c r="K24" s="35">
        <f>(E24+C24)-ROUND(H24*F$19/100,2)</f>
        <v>0.629999999999999</v>
      </c>
      <c r="L24" s="44">
        <f t="shared" si="16"/>
        <v>1200</v>
      </c>
      <c r="M24" s="84">
        <f t="shared" si="10"/>
        <v>0.0630119722747322</v>
      </c>
      <c r="N24" s="195">
        <f>J24*(F19/100)+K24</f>
        <v>711.7099999999999</v>
      </c>
      <c r="O24" s="129">
        <f t="shared" si="11"/>
        <v>890</v>
      </c>
      <c r="P24" s="82">
        <f t="shared" si="12"/>
        <v>-178.29000000000008</v>
      </c>
      <c r="Q24" s="198">
        <f t="shared" si="13"/>
        <v>-0.2003258426966293</v>
      </c>
    </row>
    <row r="25" spans="1:17" ht="12.75" hidden="1" outlineLevel="1">
      <c r="A25" s="19" t="s">
        <v>6</v>
      </c>
      <c r="B25" s="38">
        <f t="shared" si="7"/>
        <v>802</v>
      </c>
      <c r="C25" s="59">
        <f t="shared" si="8"/>
        <v>0.7800000000000011</v>
      </c>
      <c r="E25" s="22">
        <v>30</v>
      </c>
      <c r="H25" s="38">
        <f t="shared" si="9"/>
        <v>26</v>
      </c>
      <c r="J25" s="38">
        <f t="shared" si="14"/>
        <v>828</v>
      </c>
      <c r="K25" s="35">
        <f t="shared" si="15"/>
        <v>0.620000000000001</v>
      </c>
      <c r="L25" s="44">
        <f t="shared" si="16"/>
        <v>1630</v>
      </c>
      <c r="M25" s="84">
        <f t="shared" si="10"/>
        <v>0.08559126233984457</v>
      </c>
      <c r="N25" s="195">
        <f>J25*(F19/100)+K25</f>
        <v>961.0999999999999</v>
      </c>
      <c r="O25" s="129">
        <f t="shared" si="11"/>
        <v>1100</v>
      </c>
      <c r="P25" s="82">
        <f t="shared" si="12"/>
        <v>-138.9000000000001</v>
      </c>
      <c r="Q25" s="198">
        <f t="shared" si="13"/>
        <v>-0.12627272727272734</v>
      </c>
    </row>
    <row r="26" spans="1:18" ht="12.75" hidden="1" outlineLevel="1">
      <c r="A26" s="19" t="s">
        <v>50</v>
      </c>
      <c r="B26" s="38">
        <f t="shared" si="7"/>
        <v>563</v>
      </c>
      <c r="C26" s="59">
        <f t="shared" si="8"/>
        <v>0.8900000000000041</v>
      </c>
      <c r="E26" s="22">
        <v>30</v>
      </c>
      <c r="H26" s="38">
        <f t="shared" si="9"/>
        <v>26</v>
      </c>
      <c r="J26" s="38">
        <f t="shared" si="14"/>
        <v>589</v>
      </c>
      <c r="K26" s="35">
        <f>(E26+C26)-ROUND(H26*F$19/100,2)</f>
        <v>0.730000000000004</v>
      </c>
      <c r="L26" s="44">
        <f t="shared" si="16"/>
        <v>1152</v>
      </c>
      <c r="M26" s="84">
        <f t="shared" si="10"/>
        <v>0.06049149338374291</v>
      </c>
      <c r="N26" s="195">
        <f>J26*(F19/100)+K26</f>
        <v>683.97</v>
      </c>
      <c r="O26" s="129">
        <f t="shared" si="11"/>
        <v>860</v>
      </c>
      <c r="P26" s="82">
        <f t="shared" si="12"/>
        <v>-176.02999999999997</v>
      </c>
      <c r="Q26" s="198">
        <f t="shared" si="13"/>
        <v>-0.20468604651162786</v>
      </c>
      <c r="R26" s="199"/>
    </row>
    <row r="27" spans="1:17" ht="12.75" hidden="1" outlineLevel="1">
      <c r="A27" s="19" t="s">
        <v>10</v>
      </c>
      <c r="B27" s="38">
        <f t="shared" si="7"/>
        <v>802</v>
      </c>
      <c r="C27" s="59">
        <f t="shared" si="8"/>
        <v>1.0400000000000027</v>
      </c>
      <c r="E27" s="22">
        <v>30</v>
      </c>
      <c r="H27" s="38">
        <f t="shared" si="9"/>
        <v>26</v>
      </c>
      <c r="J27" s="38">
        <f t="shared" si="14"/>
        <v>828</v>
      </c>
      <c r="K27" s="35">
        <f>(E27+C27)-ROUND(H27*F$19/100,2)</f>
        <v>0.8800000000000026</v>
      </c>
      <c r="L27" s="44">
        <f t="shared" si="16"/>
        <v>1630</v>
      </c>
      <c r="M27" s="84">
        <f t="shared" si="10"/>
        <v>0.08559126233984457</v>
      </c>
      <c r="N27" s="195">
        <f>J27*(F19/100)+K27</f>
        <v>961.3599999999999</v>
      </c>
      <c r="O27" s="129">
        <f t="shared" si="11"/>
        <v>1100.28</v>
      </c>
      <c r="P27" s="82">
        <f t="shared" si="12"/>
        <v>-138.92000000000007</v>
      </c>
      <c r="Q27" s="198">
        <f t="shared" si="13"/>
        <v>-0.1262587704947832</v>
      </c>
    </row>
    <row r="28" spans="1:17" ht="12.75" hidden="1" outlineLevel="1">
      <c r="A28" s="19" t="s">
        <v>105</v>
      </c>
      <c r="B28" s="38">
        <f t="shared" si="7"/>
        <v>337</v>
      </c>
      <c r="C28" s="59">
        <f t="shared" si="8"/>
        <v>0.00999999999999801</v>
      </c>
      <c r="E28" s="22">
        <v>30</v>
      </c>
      <c r="H28" s="38">
        <f t="shared" si="9"/>
        <v>25</v>
      </c>
      <c r="J28" s="38">
        <f>B28+H28-I28</f>
        <v>362</v>
      </c>
      <c r="K28" s="35">
        <f t="shared" si="15"/>
        <v>1.009999999999998</v>
      </c>
      <c r="L28" s="44">
        <f t="shared" si="16"/>
        <v>699</v>
      </c>
      <c r="M28" s="84">
        <f t="shared" si="10"/>
        <v>0.036704473850031505</v>
      </c>
      <c r="N28" s="195">
        <f>J28*(F19/100)+K28</f>
        <v>420.92999999999995</v>
      </c>
      <c r="O28" s="129">
        <f t="shared" si="11"/>
        <v>470</v>
      </c>
      <c r="P28" s="82">
        <f t="shared" si="12"/>
        <v>-49.07000000000005</v>
      </c>
      <c r="Q28" s="198">
        <f t="shared" si="13"/>
        <v>-0.10440425531914904</v>
      </c>
    </row>
    <row r="29" spans="1:17" ht="12.75" hidden="1" outlineLevel="1">
      <c r="A29" s="19" t="s">
        <v>9</v>
      </c>
      <c r="B29" s="38">
        <f t="shared" si="7"/>
        <v>802</v>
      </c>
      <c r="C29" s="59">
        <f t="shared" si="8"/>
        <v>0.7800000000000011</v>
      </c>
      <c r="E29" s="22">
        <v>30</v>
      </c>
      <c r="H29" s="38">
        <f t="shared" si="9"/>
        <v>26</v>
      </c>
      <c r="J29" s="38">
        <f>B29+H29</f>
        <v>828</v>
      </c>
      <c r="K29" s="35">
        <f>(E29+C29)-ROUND(H29*F$19/100,2)</f>
        <v>0.620000000000001</v>
      </c>
      <c r="L29" s="44">
        <f t="shared" si="16"/>
        <v>1630</v>
      </c>
      <c r="M29" s="84">
        <f t="shared" si="10"/>
        <v>0.08559126233984457</v>
      </c>
      <c r="N29" s="195">
        <f>J29*(F19/100)+K29</f>
        <v>961.0999999999999</v>
      </c>
      <c r="O29" s="129">
        <f t="shared" si="11"/>
        <v>1100</v>
      </c>
      <c r="P29" s="82">
        <f t="shared" si="12"/>
        <v>-138.9000000000001</v>
      </c>
      <c r="Q29" s="198">
        <f t="shared" si="13"/>
        <v>-0.12627272727272734</v>
      </c>
    </row>
    <row r="30" spans="1:17" ht="12.75" hidden="1" outlineLevel="1">
      <c r="A30" s="19" t="s">
        <v>49</v>
      </c>
      <c r="B30" s="38">
        <f t="shared" si="7"/>
        <v>587</v>
      </c>
      <c r="C30" s="59">
        <f t="shared" si="8"/>
        <v>0.960000000000008</v>
      </c>
      <c r="E30" s="22">
        <v>30</v>
      </c>
      <c r="H30" s="38">
        <f t="shared" si="9"/>
        <v>26</v>
      </c>
      <c r="J30" s="38">
        <f>B30+H30</f>
        <v>613</v>
      </c>
      <c r="K30" s="35">
        <f t="shared" si="15"/>
        <v>0.8000000000000078</v>
      </c>
      <c r="L30" s="44">
        <f>L15+J30</f>
        <v>1159</v>
      </c>
      <c r="M30" s="84">
        <f t="shared" si="10"/>
        <v>0.060859063222012184</v>
      </c>
      <c r="N30" s="195">
        <f>J30*(F19/100)+K30</f>
        <v>711.8799999999999</v>
      </c>
      <c r="O30" s="129">
        <f>O14+E30</f>
        <v>890</v>
      </c>
      <c r="P30" s="82">
        <f>N30-O30</f>
        <v>-178.12000000000012</v>
      </c>
      <c r="Q30" s="198">
        <f>P30/O30</f>
        <v>-0.2001348314606743</v>
      </c>
    </row>
    <row r="31" spans="1:17" ht="12.75" hidden="1" outlineLevel="1">
      <c r="A31" s="19" t="s">
        <v>53</v>
      </c>
      <c r="B31" s="38">
        <f t="shared" si="7"/>
        <v>546</v>
      </c>
      <c r="C31" s="59">
        <f t="shared" si="8"/>
        <v>0.6199999999999974</v>
      </c>
      <c r="E31" s="22">
        <v>30</v>
      </c>
      <c r="H31" s="38">
        <f t="shared" si="9"/>
        <v>26</v>
      </c>
      <c r="J31" s="38">
        <f>B31+H31</f>
        <v>572</v>
      </c>
      <c r="K31" s="35">
        <f t="shared" si="15"/>
        <v>0.4599999999999973</v>
      </c>
      <c r="L31" s="44">
        <f>L15+J31</f>
        <v>1118</v>
      </c>
      <c r="M31" s="84">
        <f t="shared" si="10"/>
        <v>0.05870615416929217</v>
      </c>
      <c r="N31" s="195">
        <f>J31*(F19/100)+K31</f>
        <v>663.98</v>
      </c>
      <c r="O31" s="129">
        <f>O15+E31</f>
        <v>830</v>
      </c>
      <c r="P31" s="82">
        <f>N31-O31</f>
        <v>-166.01999999999998</v>
      </c>
      <c r="Q31" s="198">
        <f>P31/O31</f>
        <v>-0.20002409638554214</v>
      </c>
    </row>
    <row r="32" spans="1:17" ht="12.75" hidden="1" outlineLevel="1">
      <c r="A32" s="19" t="s">
        <v>8</v>
      </c>
      <c r="B32" s="38">
        <f t="shared" si="7"/>
        <v>802</v>
      </c>
      <c r="C32" s="59">
        <f t="shared" si="8"/>
        <v>0.7800000000000011</v>
      </c>
      <c r="E32" s="22">
        <v>30</v>
      </c>
      <c r="H32" s="38">
        <f t="shared" si="9"/>
        <v>26</v>
      </c>
      <c r="J32" s="38">
        <f>B32+H32</f>
        <v>828</v>
      </c>
      <c r="K32" s="35">
        <f t="shared" si="15"/>
        <v>0.620000000000001</v>
      </c>
      <c r="L32" s="44">
        <f>L16+J32</f>
        <v>1630</v>
      </c>
      <c r="M32" s="84">
        <f t="shared" si="10"/>
        <v>0.08559126233984457</v>
      </c>
      <c r="N32" s="195">
        <f>J32*(F19/100)+K32</f>
        <v>961.0999999999999</v>
      </c>
      <c r="O32" s="129">
        <f>O16+E32</f>
        <v>1100</v>
      </c>
      <c r="P32" s="82">
        <f>N32-O32</f>
        <v>-138.9000000000001</v>
      </c>
      <c r="Q32" s="198">
        <f>P32/O32</f>
        <v>-0.12627272727272734</v>
      </c>
    </row>
    <row r="33" spans="5:17" ht="12.75" collapsed="1">
      <c r="E33" s="22">
        <f>SUM(E19:E32)</f>
        <v>420</v>
      </c>
      <c r="J33" s="69">
        <f>SUM(J19:J32)</f>
        <v>9724</v>
      </c>
      <c r="K33" s="35">
        <f>SUM(K19:K32)</f>
        <v>9.030000000000022</v>
      </c>
      <c r="L33" s="70">
        <f>SUM(L19:L32)</f>
        <v>19044</v>
      </c>
      <c r="M33" s="84">
        <f>SUM(M19:M32)</f>
        <v>1</v>
      </c>
      <c r="N33" s="195"/>
      <c r="P33" s="81"/>
      <c r="Q33" s="196"/>
    </row>
    <row r="34" spans="1:17" ht="12.75">
      <c r="A34" s="36">
        <v>37408</v>
      </c>
      <c r="M34" s="84"/>
      <c r="N34" s="195"/>
      <c r="P34" s="81"/>
      <c r="Q34" s="197"/>
    </row>
    <row r="35" spans="1:17" ht="12.75" hidden="1" outlineLevel="1">
      <c r="A35" s="19" t="s">
        <v>5</v>
      </c>
      <c r="B35" s="38">
        <f aca="true" t="shared" si="17" ref="B35:B48">J19</f>
        <v>828</v>
      </c>
      <c r="C35" s="59">
        <f aca="true" t="shared" si="18" ref="C35:C48">K19</f>
        <v>0.620000000000001</v>
      </c>
      <c r="E35" s="22">
        <v>30</v>
      </c>
      <c r="F35" s="31">
        <f>Assets!I53</f>
        <v>112.99999999999999</v>
      </c>
      <c r="H35" s="38">
        <f aca="true" t="shared" si="19" ref="H35:H48">INT(100*(C35+E35)/F$35)</f>
        <v>27</v>
      </c>
      <c r="J35" s="38">
        <f aca="true" t="shared" si="20" ref="J35:J43">B35+H35</f>
        <v>855</v>
      </c>
      <c r="K35" s="35">
        <f aca="true" t="shared" si="21" ref="K35:K48">(E35+C35)-ROUND(H35*F$35/100,2)</f>
        <v>0.10999999999999943</v>
      </c>
      <c r="L35" s="44">
        <f aca="true" t="shared" si="22" ref="L35:L47">L19+J35</f>
        <v>2485</v>
      </c>
      <c r="M35" s="84">
        <f aca="true" t="shared" si="23" ref="M35:M48">L35/L$49</f>
        <v>0.08526626406807576</v>
      </c>
      <c r="N35" s="195">
        <f>J35*(F35/100)+K35</f>
        <v>966.2599999999999</v>
      </c>
      <c r="O35" s="129">
        <f aca="true" t="shared" si="24" ref="O35:O48">O19+E35</f>
        <v>1130</v>
      </c>
      <c r="P35" s="82">
        <f>N35-O35</f>
        <v>-163.74000000000012</v>
      </c>
      <c r="Q35" s="198">
        <f>P35/O35</f>
        <v>-0.14490265486725676</v>
      </c>
    </row>
    <row r="36" spans="1:17" ht="12.75" hidden="1" outlineLevel="1">
      <c r="A36" s="19" t="s">
        <v>54</v>
      </c>
      <c r="B36" s="38">
        <f t="shared" si="17"/>
        <v>590</v>
      </c>
      <c r="C36" s="59">
        <f t="shared" si="18"/>
        <v>0.07000000000000384</v>
      </c>
      <c r="E36" s="22">
        <v>30</v>
      </c>
      <c r="H36" s="38">
        <f t="shared" si="19"/>
        <v>26</v>
      </c>
      <c r="J36" s="38">
        <f t="shared" si="20"/>
        <v>616</v>
      </c>
      <c r="K36" s="35">
        <f t="shared" si="21"/>
        <v>0.6900000000000048</v>
      </c>
      <c r="L36" s="44">
        <f t="shared" si="22"/>
        <v>1770</v>
      </c>
      <c r="M36" s="84">
        <f t="shared" si="23"/>
        <v>0.060732912434806476</v>
      </c>
      <c r="N36" s="195">
        <f>J36*(F35/100)+K36</f>
        <v>696.77</v>
      </c>
      <c r="O36" s="129">
        <f t="shared" si="24"/>
        <v>890</v>
      </c>
      <c r="P36" s="82">
        <f>N36-O36</f>
        <v>-193.23000000000002</v>
      </c>
      <c r="Q36" s="198">
        <f>P36/O36</f>
        <v>-0.21711235955056182</v>
      </c>
    </row>
    <row r="37" spans="1:17" ht="12.75" hidden="1" outlineLevel="1">
      <c r="A37" s="19" t="s">
        <v>11</v>
      </c>
      <c r="B37" s="38">
        <f t="shared" si="17"/>
        <v>828</v>
      </c>
      <c r="C37" s="59">
        <f t="shared" si="18"/>
        <v>0.620000000000001</v>
      </c>
      <c r="E37" s="22">
        <v>30</v>
      </c>
      <c r="H37" s="38">
        <f t="shared" si="19"/>
        <v>27</v>
      </c>
      <c r="J37" s="38">
        <f t="shared" si="20"/>
        <v>855</v>
      </c>
      <c r="K37" s="35">
        <f t="shared" si="21"/>
        <v>0.10999999999999943</v>
      </c>
      <c r="L37" s="44">
        <f t="shared" si="22"/>
        <v>2485</v>
      </c>
      <c r="M37" s="84">
        <f t="shared" si="23"/>
        <v>0.08526626406807576</v>
      </c>
      <c r="N37" s="195">
        <f>J37*(F35/100)+K37</f>
        <v>966.2599999999999</v>
      </c>
      <c r="O37" s="129">
        <f t="shared" si="24"/>
        <v>1130</v>
      </c>
      <c r="P37" s="82">
        <f aca="true" t="shared" si="25" ref="P37:P45">N37-O37</f>
        <v>-163.74000000000012</v>
      </c>
      <c r="Q37" s="198">
        <f aca="true" t="shared" si="26" ref="Q37:Q45">P37/O37</f>
        <v>-0.14490265486725676</v>
      </c>
    </row>
    <row r="38" spans="1:17" ht="12.75" hidden="1" outlineLevel="1">
      <c r="A38" s="18" t="s">
        <v>7</v>
      </c>
      <c r="B38" s="38">
        <f t="shared" si="17"/>
        <v>828</v>
      </c>
      <c r="C38" s="59">
        <f t="shared" si="18"/>
        <v>0.620000000000001</v>
      </c>
      <c r="E38" s="22">
        <v>30</v>
      </c>
      <c r="H38" s="38">
        <f t="shared" si="19"/>
        <v>27</v>
      </c>
      <c r="J38" s="38">
        <f t="shared" si="20"/>
        <v>855</v>
      </c>
      <c r="K38" s="35">
        <f t="shared" si="21"/>
        <v>0.10999999999999943</v>
      </c>
      <c r="L38" s="44">
        <f t="shared" si="22"/>
        <v>2485</v>
      </c>
      <c r="M38" s="84">
        <f t="shared" si="23"/>
        <v>0.08526626406807576</v>
      </c>
      <c r="N38" s="195">
        <f>J38*(F35/100)+K38</f>
        <v>966.2599999999999</v>
      </c>
      <c r="O38" s="129">
        <f t="shared" si="24"/>
        <v>1130</v>
      </c>
      <c r="P38" s="82">
        <f t="shared" si="25"/>
        <v>-163.74000000000012</v>
      </c>
      <c r="Q38" s="198">
        <f t="shared" si="26"/>
        <v>-0.14490265486725676</v>
      </c>
    </row>
    <row r="39" spans="1:17" ht="12.75" hidden="1" outlineLevel="1">
      <c r="A39" s="18" t="s">
        <v>52</v>
      </c>
      <c r="B39" s="38">
        <f t="shared" si="17"/>
        <v>589</v>
      </c>
      <c r="C39" s="59">
        <f t="shared" si="18"/>
        <v>0.730000000000004</v>
      </c>
      <c r="E39" s="22">
        <v>30</v>
      </c>
      <c r="H39" s="38">
        <f t="shared" si="19"/>
        <v>27</v>
      </c>
      <c r="J39" s="38">
        <f t="shared" si="20"/>
        <v>616</v>
      </c>
      <c r="K39" s="35">
        <f t="shared" si="21"/>
        <v>0.22000000000000242</v>
      </c>
      <c r="L39" s="44">
        <f t="shared" si="22"/>
        <v>1768</v>
      </c>
      <c r="M39" s="84">
        <f t="shared" si="23"/>
        <v>0.060664287674993135</v>
      </c>
      <c r="N39" s="195">
        <f>J39*(F35/100)+K39</f>
        <v>696.3</v>
      </c>
      <c r="O39" s="129">
        <f t="shared" si="24"/>
        <v>890</v>
      </c>
      <c r="P39" s="82">
        <f t="shared" si="25"/>
        <v>-193.70000000000005</v>
      </c>
      <c r="Q39" s="198">
        <f t="shared" si="26"/>
        <v>-0.2176404494382023</v>
      </c>
    </row>
    <row r="40" spans="1:17" ht="12.75" hidden="1" outlineLevel="1">
      <c r="A40" s="18" t="s">
        <v>56</v>
      </c>
      <c r="B40" s="38">
        <f t="shared" si="17"/>
        <v>613</v>
      </c>
      <c r="C40" s="59">
        <f t="shared" si="18"/>
        <v>0.629999999999999</v>
      </c>
      <c r="E40" s="22">
        <v>30</v>
      </c>
      <c r="H40" s="38">
        <f t="shared" si="19"/>
        <v>27</v>
      </c>
      <c r="J40" s="38">
        <f t="shared" si="20"/>
        <v>640</v>
      </c>
      <c r="K40" s="35">
        <f t="shared" si="21"/>
        <v>0.11999999999999744</v>
      </c>
      <c r="L40" s="44">
        <f t="shared" si="22"/>
        <v>1840</v>
      </c>
      <c r="M40" s="84">
        <f t="shared" si="23"/>
        <v>0.0631347790282734</v>
      </c>
      <c r="N40" s="195">
        <f>J40*(F35/100)+K40</f>
        <v>723.3199999999999</v>
      </c>
      <c r="O40" s="129">
        <f t="shared" si="24"/>
        <v>920</v>
      </c>
      <c r="P40" s="82">
        <f t="shared" si="25"/>
        <v>-196.68000000000006</v>
      </c>
      <c r="Q40" s="198">
        <f t="shared" si="26"/>
        <v>-0.21378260869565224</v>
      </c>
    </row>
    <row r="41" spans="1:17" ht="12.75" hidden="1" outlineLevel="1">
      <c r="A41" s="19" t="s">
        <v>6</v>
      </c>
      <c r="B41" s="38">
        <f t="shared" si="17"/>
        <v>828</v>
      </c>
      <c r="C41" s="59">
        <f t="shared" si="18"/>
        <v>0.620000000000001</v>
      </c>
      <c r="E41" s="22">
        <v>30</v>
      </c>
      <c r="H41" s="38">
        <f t="shared" si="19"/>
        <v>27</v>
      </c>
      <c r="J41" s="38">
        <f t="shared" si="20"/>
        <v>855</v>
      </c>
      <c r="K41" s="35">
        <f t="shared" si="21"/>
        <v>0.10999999999999943</v>
      </c>
      <c r="L41" s="44">
        <f t="shared" si="22"/>
        <v>2485</v>
      </c>
      <c r="M41" s="84">
        <f t="shared" si="23"/>
        <v>0.08526626406807576</v>
      </c>
      <c r="N41" s="195">
        <f>J41*(F35/100)+K41</f>
        <v>966.2599999999999</v>
      </c>
      <c r="O41" s="129">
        <f t="shared" si="24"/>
        <v>1130</v>
      </c>
      <c r="P41" s="82">
        <f t="shared" si="25"/>
        <v>-163.74000000000012</v>
      </c>
      <c r="Q41" s="198">
        <f t="shared" si="26"/>
        <v>-0.14490265486725676</v>
      </c>
    </row>
    <row r="42" spans="1:17" ht="12.75" hidden="1" outlineLevel="1">
      <c r="A42" s="19" t="s">
        <v>50</v>
      </c>
      <c r="B42" s="38">
        <f t="shared" si="17"/>
        <v>589</v>
      </c>
      <c r="C42" s="59">
        <f t="shared" si="18"/>
        <v>0.730000000000004</v>
      </c>
      <c r="E42" s="22">
        <v>30</v>
      </c>
      <c r="H42" s="38">
        <f t="shared" si="19"/>
        <v>27</v>
      </c>
      <c r="J42" s="38">
        <f t="shared" si="20"/>
        <v>616</v>
      </c>
      <c r="K42" s="35">
        <f t="shared" si="21"/>
        <v>0.22000000000000242</v>
      </c>
      <c r="L42" s="44">
        <f t="shared" si="22"/>
        <v>1768</v>
      </c>
      <c r="M42" s="84">
        <f t="shared" si="23"/>
        <v>0.060664287674993135</v>
      </c>
      <c r="N42" s="195">
        <f>J42*(F35/100)+K42</f>
        <v>696.3</v>
      </c>
      <c r="O42" s="129">
        <f t="shared" si="24"/>
        <v>890</v>
      </c>
      <c r="P42" s="82">
        <f t="shared" si="25"/>
        <v>-193.70000000000005</v>
      </c>
      <c r="Q42" s="198">
        <f t="shared" si="26"/>
        <v>-0.2176404494382023</v>
      </c>
    </row>
    <row r="43" spans="1:17" ht="12.75" hidden="1" outlineLevel="1">
      <c r="A43" s="19" t="s">
        <v>10</v>
      </c>
      <c r="B43" s="38">
        <f t="shared" si="17"/>
        <v>828</v>
      </c>
      <c r="C43" s="59">
        <f t="shared" si="18"/>
        <v>0.8800000000000026</v>
      </c>
      <c r="E43" s="22">
        <v>30</v>
      </c>
      <c r="H43" s="38">
        <f t="shared" si="19"/>
        <v>27</v>
      </c>
      <c r="J43" s="38">
        <f t="shared" si="20"/>
        <v>855</v>
      </c>
      <c r="K43" s="35">
        <f t="shared" si="21"/>
        <v>0.370000000000001</v>
      </c>
      <c r="L43" s="44">
        <f t="shared" si="22"/>
        <v>2485</v>
      </c>
      <c r="M43" s="84">
        <f t="shared" si="23"/>
        <v>0.08526626406807576</v>
      </c>
      <c r="N43" s="195">
        <f>J43*(F35/100)+K43</f>
        <v>966.5199999999999</v>
      </c>
      <c r="O43" s="129">
        <f t="shared" si="24"/>
        <v>1130.28</v>
      </c>
      <c r="P43" s="82">
        <f t="shared" si="25"/>
        <v>-163.7600000000001</v>
      </c>
      <c r="Q43" s="198">
        <f t="shared" si="26"/>
        <v>-0.14488445340977466</v>
      </c>
    </row>
    <row r="44" spans="1:17" ht="12.75" hidden="1" outlineLevel="1">
      <c r="A44" s="19" t="s">
        <v>105</v>
      </c>
      <c r="B44" s="38">
        <f t="shared" si="17"/>
        <v>362</v>
      </c>
      <c r="C44" s="59">
        <f t="shared" si="18"/>
        <v>1.009999999999998</v>
      </c>
      <c r="E44" s="22">
        <v>30</v>
      </c>
      <c r="H44" s="38">
        <f t="shared" si="19"/>
        <v>27</v>
      </c>
      <c r="J44" s="38">
        <f>B44+H44-I44</f>
        <v>389</v>
      </c>
      <c r="K44" s="35">
        <f t="shared" si="21"/>
        <v>0.49999999999999645</v>
      </c>
      <c r="L44" s="44">
        <f t="shared" si="22"/>
        <v>1088</v>
      </c>
      <c r="M44" s="84">
        <f t="shared" si="23"/>
        <v>0.037331869338457314</v>
      </c>
      <c r="N44" s="195">
        <f>J44*(F35/100)+K44</f>
        <v>440.06999999999994</v>
      </c>
      <c r="O44" s="129">
        <f t="shared" si="24"/>
        <v>500</v>
      </c>
      <c r="P44" s="82">
        <f t="shared" si="25"/>
        <v>-59.930000000000064</v>
      </c>
      <c r="Q44" s="198">
        <f t="shared" si="26"/>
        <v>-0.11986000000000013</v>
      </c>
    </row>
    <row r="45" spans="1:17" ht="12.75" hidden="1" outlineLevel="1">
      <c r="A45" s="19" t="s">
        <v>9</v>
      </c>
      <c r="B45" s="38">
        <f t="shared" si="17"/>
        <v>828</v>
      </c>
      <c r="C45" s="59">
        <f t="shared" si="18"/>
        <v>0.620000000000001</v>
      </c>
      <c r="E45" s="22">
        <v>30</v>
      </c>
      <c r="H45" s="38">
        <f t="shared" si="19"/>
        <v>27</v>
      </c>
      <c r="J45" s="38">
        <f>B45+H45</f>
        <v>855</v>
      </c>
      <c r="K45" s="35">
        <f t="shared" si="21"/>
        <v>0.10999999999999943</v>
      </c>
      <c r="L45" s="44">
        <f t="shared" si="22"/>
        <v>2485</v>
      </c>
      <c r="M45" s="84">
        <f t="shared" si="23"/>
        <v>0.08526626406807576</v>
      </c>
      <c r="N45" s="195">
        <f>J45*(F35/100)+K45</f>
        <v>966.2599999999999</v>
      </c>
      <c r="O45" s="129">
        <f t="shared" si="24"/>
        <v>1130</v>
      </c>
      <c r="P45" s="82">
        <f t="shared" si="25"/>
        <v>-163.74000000000012</v>
      </c>
      <c r="Q45" s="198">
        <f t="shared" si="26"/>
        <v>-0.14490265486725676</v>
      </c>
    </row>
    <row r="46" spans="1:17" ht="12.75" hidden="1" outlineLevel="1">
      <c r="A46" s="19" t="s">
        <v>49</v>
      </c>
      <c r="B46" s="38">
        <f t="shared" si="17"/>
        <v>613</v>
      </c>
      <c r="C46" s="59">
        <f t="shared" si="18"/>
        <v>0.8000000000000078</v>
      </c>
      <c r="E46" s="22">
        <v>30</v>
      </c>
      <c r="H46" s="38">
        <f t="shared" si="19"/>
        <v>27</v>
      </c>
      <c r="J46" s="38">
        <f>B46+H46</f>
        <v>640</v>
      </c>
      <c r="K46" s="35">
        <f t="shared" si="21"/>
        <v>0.29000000000000625</v>
      </c>
      <c r="L46" s="44">
        <f t="shared" si="22"/>
        <v>1799</v>
      </c>
      <c r="M46" s="84">
        <f t="shared" si="23"/>
        <v>0.06172797145209992</v>
      </c>
      <c r="N46" s="195">
        <f>J46*(F35/100)+K46</f>
        <v>723.4899999999999</v>
      </c>
      <c r="O46" s="129">
        <f t="shared" si="24"/>
        <v>920</v>
      </c>
      <c r="P46" s="82">
        <f>N46-O46</f>
        <v>-196.5100000000001</v>
      </c>
      <c r="Q46" s="198">
        <f>P46/O46</f>
        <v>-0.21359782608695663</v>
      </c>
    </row>
    <row r="47" spans="1:17" ht="12.75" hidden="1" outlineLevel="1">
      <c r="A47" s="19" t="s">
        <v>53</v>
      </c>
      <c r="B47" s="38">
        <f t="shared" si="17"/>
        <v>572</v>
      </c>
      <c r="C47" s="59">
        <f t="shared" si="18"/>
        <v>0.4599999999999973</v>
      </c>
      <c r="E47" s="22">
        <v>30</v>
      </c>
      <c r="H47" s="38">
        <f t="shared" si="19"/>
        <v>26</v>
      </c>
      <c r="J47" s="38">
        <f>B47+H47</f>
        <v>598</v>
      </c>
      <c r="K47" s="35">
        <f t="shared" si="21"/>
        <v>1.0799999999999983</v>
      </c>
      <c r="L47" s="44">
        <f t="shared" si="22"/>
        <v>1716</v>
      </c>
      <c r="M47" s="84">
        <f t="shared" si="23"/>
        <v>0.05888004391984628</v>
      </c>
      <c r="N47" s="195">
        <f>J47*(F35/100)+K47</f>
        <v>676.8199999999999</v>
      </c>
      <c r="O47" s="129">
        <f t="shared" si="24"/>
        <v>860</v>
      </c>
      <c r="P47" s="82">
        <f>N47-O47</f>
        <v>-183.18000000000006</v>
      </c>
      <c r="Q47" s="198">
        <f>P47/O47</f>
        <v>-0.21300000000000008</v>
      </c>
    </row>
    <row r="48" spans="1:17" ht="12.75" hidden="1" outlineLevel="1">
      <c r="A48" s="19" t="s">
        <v>8</v>
      </c>
      <c r="B48" s="38">
        <f t="shared" si="17"/>
        <v>828</v>
      </c>
      <c r="C48" s="59">
        <f t="shared" si="18"/>
        <v>0.620000000000001</v>
      </c>
      <c r="E48" s="22">
        <v>30</v>
      </c>
      <c r="H48" s="38">
        <f t="shared" si="19"/>
        <v>27</v>
      </c>
      <c r="J48" s="38">
        <f>B48+H48</f>
        <v>855</v>
      </c>
      <c r="K48" s="35">
        <f t="shared" si="21"/>
        <v>0.10999999999999943</v>
      </c>
      <c r="L48" s="44">
        <f>L32+J48</f>
        <v>2485</v>
      </c>
      <c r="M48" s="84">
        <f t="shared" si="23"/>
        <v>0.08526626406807576</v>
      </c>
      <c r="N48" s="195">
        <f>J48*(F35/100)+K48</f>
        <v>966.2599999999999</v>
      </c>
      <c r="O48" s="129">
        <f t="shared" si="24"/>
        <v>1130</v>
      </c>
      <c r="P48" s="82">
        <f>N48-O48</f>
        <v>-163.74000000000012</v>
      </c>
      <c r="Q48" s="198">
        <f>P48/O48</f>
        <v>-0.14490265486725676</v>
      </c>
    </row>
    <row r="49" spans="5:17" ht="12.75" collapsed="1">
      <c r="E49" s="22">
        <f>SUM(E35:E48)</f>
        <v>420</v>
      </c>
      <c r="J49" s="69">
        <f>SUM(J35:J48)</f>
        <v>10100</v>
      </c>
      <c r="K49" s="35">
        <f>SUM(K35:K48)</f>
        <v>4.150000000000006</v>
      </c>
      <c r="L49" s="70">
        <f>SUM(L35:L48)</f>
        <v>29144</v>
      </c>
      <c r="M49" s="84">
        <f>SUM(M35:M48)</f>
        <v>1</v>
      </c>
      <c r="N49" s="195"/>
      <c r="P49" s="82"/>
      <c r="Q49" s="198"/>
    </row>
    <row r="50" spans="1:17" ht="12.75">
      <c r="A50" s="36">
        <v>37438</v>
      </c>
      <c r="C50" s="59"/>
      <c r="N50" s="195"/>
      <c r="P50" s="243"/>
      <c r="Q50" s="199"/>
    </row>
    <row r="51" spans="1:17" ht="12.75" hidden="1" outlineLevel="1">
      <c r="A51" s="19" t="s">
        <v>5</v>
      </c>
      <c r="B51" s="38">
        <f aca="true" t="shared" si="27" ref="B51:B64">J35</f>
        <v>855</v>
      </c>
      <c r="C51" s="59">
        <f aca="true" t="shared" si="28" ref="C51:C64">K35</f>
        <v>0.10999999999999943</v>
      </c>
      <c r="E51" s="22">
        <v>30</v>
      </c>
      <c r="F51" s="31">
        <f>Assets!I83</f>
        <v>104</v>
      </c>
      <c r="H51" s="38">
        <f>INT(100*(C51+E51)/F$51)</f>
        <v>28</v>
      </c>
      <c r="J51" s="38">
        <f aca="true" t="shared" si="29" ref="J51:J59">B51+H51</f>
        <v>883</v>
      </c>
      <c r="K51" s="35">
        <f aca="true" t="shared" si="30" ref="K51:K64">(E51+C51)-ROUND(H51*F$51/100,2)</f>
        <v>0.9899999999999984</v>
      </c>
      <c r="L51" s="44">
        <f aca="true" t="shared" si="31" ref="L51:L63">L35+J51</f>
        <v>3368</v>
      </c>
      <c r="M51" s="84">
        <f>L51/L$65</f>
        <v>0.08495825240269404</v>
      </c>
      <c r="N51" s="195">
        <f>J51*(F51/100)+K51</f>
        <v>919.3100000000001</v>
      </c>
      <c r="O51" s="129">
        <f aca="true" t="shared" si="32" ref="O51:O64">O35+E51</f>
        <v>1160</v>
      </c>
      <c r="P51" s="82">
        <f aca="true" t="shared" si="33" ref="P51:P56">N51-O51</f>
        <v>-240.68999999999994</v>
      </c>
      <c r="Q51" s="198">
        <f>P51/O51</f>
        <v>-0.20749137931034478</v>
      </c>
    </row>
    <row r="52" spans="1:17" ht="12.75" hidden="1" outlineLevel="1">
      <c r="A52" s="19" t="s">
        <v>54</v>
      </c>
      <c r="B52" s="38">
        <f t="shared" si="27"/>
        <v>616</v>
      </c>
      <c r="C52" s="59">
        <f t="shared" si="28"/>
        <v>0.6900000000000048</v>
      </c>
      <c r="E52" s="22">
        <v>30</v>
      </c>
      <c r="H52" s="38">
        <f>INT(100*(C52+E52)/F$51)</f>
        <v>29</v>
      </c>
      <c r="J52" s="38">
        <f t="shared" si="29"/>
        <v>645</v>
      </c>
      <c r="K52" s="35">
        <f t="shared" si="30"/>
        <v>0.5300000000000047</v>
      </c>
      <c r="L52" s="44">
        <f t="shared" si="31"/>
        <v>2415</v>
      </c>
      <c r="M52" s="84">
        <f aca="true" t="shared" si="34" ref="M52:M57">L52/L$65</f>
        <v>0.06091869939207426</v>
      </c>
      <c r="N52" s="195">
        <f>J52*(F51/100)+K52</f>
        <v>671.33</v>
      </c>
      <c r="O52" s="129">
        <f t="shared" si="32"/>
        <v>920</v>
      </c>
      <c r="P52" s="82">
        <f t="shared" si="33"/>
        <v>-248.66999999999996</v>
      </c>
      <c r="Q52" s="198">
        <f>P52/O52</f>
        <v>-0.2702934782608695</v>
      </c>
    </row>
    <row r="53" spans="1:17" ht="12.75" hidden="1" outlineLevel="1">
      <c r="A53" s="19" t="s">
        <v>11</v>
      </c>
      <c r="B53" s="38">
        <f t="shared" si="27"/>
        <v>855</v>
      </c>
      <c r="C53" s="59">
        <f t="shared" si="28"/>
        <v>0.10999999999999943</v>
      </c>
      <c r="E53" s="22">
        <v>30</v>
      </c>
      <c r="H53" s="38">
        <f aca="true" t="shared" si="35" ref="H53:H64">INT(100*(C53+E53)/F$51)</f>
        <v>28</v>
      </c>
      <c r="J53" s="38">
        <f t="shared" si="29"/>
        <v>883</v>
      </c>
      <c r="K53" s="35">
        <f t="shared" si="30"/>
        <v>0.9899999999999984</v>
      </c>
      <c r="L53" s="44">
        <f t="shared" si="31"/>
        <v>3368</v>
      </c>
      <c r="M53" s="84">
        <f t="shared" si="34"/>
        <v>0.08495825240269404</v>
      </c>
      <c r="N53" s="195">
        <f>J53*(F51/100)+K53</f>
        <v>919.3100000000001</v>
      </c>
      <c r="O53" s="129">
        <f t="shared" si="32"/>
        <v>1160</v>
      </c>
      <c r="P53" s="82">
        <f t="shared" si="33"/>
        <v>-240.68999999999994</v>
      </c>
      <c r="Q53" s="198">
        <f aca="true" t="shared" si="36" ref="Q53:Q61">P53/O53</f>
        <v>-0.20749137931034478</v>
      </c>
    </row>
    <row r="54" spans="1:17" ht="12.75" hidden="1" outlineLevel="1">
      <c r="A54" s="18" t="s">
        <v>7</v>
      </c>
      <c r="B54" s="38">
        <f t="shared" si="27"/>
        <v>855</v>
      </c>
      <c r="C54" s="59">
        <f t="shared" si="28"/>
        <v>0.10999999999999943</v>
      </c>
      <c r="E54" s="22">
        <v>30</v>
      </c>
      <c r="H54" s="38">
        <f t="shared" si="35"/>
        <v>28</v>
      </c>
      <c r="J54" s="38">
        <f t="shared" si="29"/>
        <v>883</v>
      </c>
      <c r="K54" s="35">
        <f t="shared" si="30"/>
        <v>0.9899999999999984</v>
      </c>
      <c r="L54" s="44">
        <f t="shared" si="31"/>
        <v>3368</v>
      </c>
      <c r="M54" s="84">
        <f t="shared" si="34"/>
        <v>0.08495825240269404</v>
      </c>
      <c r="N54" s="195">
        <f>J54*(F51/100)+K54</f>
        <v>919.3100000000001</v>
      </c>
      <c r="O54" s="129">
        <f t="shared" si="32"/>
        <v>1160</v>
      </c>
      <c r="P54" s="82">
        <f t="shared" si="33"/>
        <v>-240.68999999999994</v>
      </c>
      <c r="Q54" s="198">
        <f t="shared" si="36"/>
        <v>-0.20749137931034478</v>
      </c>
    </row>
    <row r="55" spans="1:17" ht="12.75" hidden="1" outlineLevel="1">
      <c r="A55" s="18" t="s">
        <v>52</v>
      </c>
      <c r="B55" s="38">
        <f t="shared" si="27"/>
        <v>616</v>
      </c>
      <c r="C55" s="59">
        <f t="shared" si="28"/>
        <v>0.22000000000000242</v>
      </c>
      <c r="E55" s="22">
        <v>30</v>
      </c>
      <c r="H55" s="38">
        <f t="shared" si="35"/>
        <v>29</v>
      </c>
      <c r="J55" s="38">
        <f t="shared" si="29"/>
        <v>645</v>
      </c>
      <c r="K55" s="35">
        <f t="shared" si="30"/>
        <v>0.060000000000002274</v>
      </c>
      <c r="L55" s="44">
        <f t="shared" si="31"/>
        <v>2413</v>
      </c>
      <c r="M55" s="84">
        <f t="shared" si="34"/>
        <v>0.06086824912342658</v>
      </c>
      <c r="N55" s="195">
        <f>J55*(F51/100)+K55</f>
        <v>670.8600000000001</v>
      </c>
      <c r="O55" s="129">
        <f t="shared" si="32"/>
        <v>920</v>
      </c>
      <c r="P55" s="82">
        <f t="shared" si="33"/>
        <v>-249.13999999999987</v>
      </c>
      <c r="Q55" s="198">
        <f t="shared" si="36"/>
        <v>-0.2708043478260868</v>
      </c>
    </row>
    <row r="56" spans="1:17" ht="12.75" hidden="1" outlineLevel="1">
      <c r="A56" s="18" t="s">
        <v>56</v>
      </c>
      <c r="B56" s="38">
        <f t="shared" si="27"/>
        <v>640</v>
      </c>
      <c r="C56" s="59">
        <f t="shared" si="28"/>
        <v>0.11999999999999744</v>
      </c>
      <c r="E56" s="22">
        <v>30</v>
      </c>
      <c r="H56" s="38">
        <f t="shared" si="35"/>
        <v>28</v>
      </c>
      <c r="J56" s="38">
        <f t="shared" si="29"/>
        <v>668</v>
      </c>
      <c r="K56" s="35">
        <f t="shared" si="30"/>
        <v>0.9999999999999964</v>
      </c>
      <c r="L56" s="44">
        <f t="shared" si="31"/>
        <v>2508</v>
      </c>
      <c r="M56" s="84">
        <f t="shared" si="34"/>
        <v>0.06326463688419141</v>
      </c>
      <c r="N56" s="195">
        <f>J56*(F51/100)+K56</f>
        <v>695.72</v>
      </c>
      <c r="O56" s="129">
        <f t="shared" si="32"/>
        <v>950</v>
      </c>
      <c r="P56" s="82">
        <f t="shared" si="33"/>
        <v>-254.27999999999997</v>
      </c>
      <c r="Q56" s="198">
        <f t="shared" si="36"/>
        <v>-0.2676631578947368</v>
      </c>
    </row>
    <row r="57" spans="1:17" ht="12.75" hidden="1" outlineLevel="1">
      <c r="A57" s="19" t="s">
        <v>6</v>
      </c>
      <c r="B57" s="38">
        <f t="shared" si="27"/>
        <v>855</v>
      </c>
      <c r="C57" s="59">
        <f t="shared" si="28"/>
        <v>0.10999999999999943</v>
      </c>
      <c r="E57" s="22">
        <v>30</v>
      </c>
      <c r="H57" s="38">
        <f t="shared" si="35"/>
        <v>28</v>
      </c>
      <c r="J57" s="38">
        <f t="shared" si="29"/>
        <v>883</v>
      </c>
      <c r="K57" s="35">
        <f t="shared" si="30"/>
        <v>0.9899999999999984</v>
      </c>
      <c r="L57" s="44">
        <f t="shared" si="31"/>
        <v>3368</v>
      </c>
      <c r="M57" s="84">
        <f t="shared" si="34"/>
        <v>0.08495825240269404</v>
      </c>
      <c r="N57" s="195">
        <f>J57*(F51/100)+K57</f>
        <v>919.3100000000001</v>
      </c>
      <c r="O57" s="129">
        <f t="shared" si="32"/>
        <v>1160</v>
      </c>
      <c r="P57" s="82">
        <f aca="true" t="shared" si="37" ref="P57:P64">N57-O57</f>
        <v>-240.68999999999994</v>
      </c>
      <c r="Q57" s="198">
        <f t="shared" si="36"/>
        <v>-0.20749137931034478</v>
      </c>
    </row>
    <row r="58" spans="1:17" ht="12.75" hidden="1" outlineLevel="1">
      <c r="A58" s="19" t="s">
        <v>50</v>
      </c>
      <c r="B58" s="38">
        <f t="shared" si="27"/>
        <v>616</v>
      </c>
      <c r="C58" s="59">
        <f t="shared" si="28"/>
        <v>0.22000000000000242</v>
      </c>
      <c r="E58" s="22">
        <v>30</v>
      </c>
      <c r="H58" s="38">
        <f t="shared" si="35"/>
        <v>29</v>
      </c>
      <c r="J58" s="38">
        <f t="shared" si="29"/>
        <v>645</v>
      </c>
      <c r="K58" s="35">
        <f t="shared" si="30"/>
        <v>0.060000000000002274</v>
      </c>
      <c r="L58" s="44">
        <f t="shared" si="31"/>
        <v>2413</v>
      </c>
      <c r="M58" s="84">
        <f aca="true" t="shared" si="38" ref="M58:M64">L58/L$65</f>
        <v>0.06086824912342658</v>
      </c>
      <c r="N58" s="195">
        <f>J58*(F51/100)+K58</f>
        <v>670.8600000000001</v>
      </c>
      <c r="O58" s="129">
        <f t="shared" si="32"/>
        <v>920</v>
      </c>
      <c r="P58" s="82">
        <f t="shared" si="37"/>
        <v>-249.13999999999987</v>
      </c>
      <c r="Q58" s="198">
        <f t="shared" si="36"/>
        <v>-0.2708043478260868</v>
      </c>
    </row>
    <row r="59" spans="1:17" ht="12.75" hidden="1" outlineLevel="1">
      <c r="A59" s="19" t="s">
        <v>10</v>
      </c>
      <c r="B59" s="38">
        <f t="shared" si="27"/>
        <v>855</v>
      </c>
      <c r="C59" s="59">
        <f t="shared" si="28"/>
        <v>0.370000000000001</v>
      </c>
      <c r="E59" s="22">
        <v>30</v>
      </c>
      <c r="H59" s="38">
        <f t="shared" si="35"/>
        <v>29</v>
      </c>
      <c r="J59" s="38">
        <f t="shared" si="29"/>
        <v>884</v>
      </c>
      <c r="K59" s="35">
        <f t="shared" si="30"/>
        <v>0.21000000000000085</v>
      </c>
      <c r="L59" s="44">
        <f t="shared" si="31"/>
        <v>3369</v>
      </c>
      <c r="M59" s="84">
        <f t="shared" si="38"/>
        <v>0.08498347753701789</v>
      </c>
      <c r="N59" s="195">
        <f>J59*(F51/100)+K59</f>
        <v>919.57</v>
      </c>
      <c r="O59" s="129">
        <f t="shared" si="32"/>
        <v>1160.28</v>
      </c>
      <c r="P59" s="82">
        <f t="shared" si="37"/>
        <v>-240.70999999999992</v>
      </c>
      <c r="Q59" s="198">
        <f t="shared" si="36"/>
        <v>-0.20745854448926115</v>
      </c>
    </row>
    <row r="60" spans="1:17" ht="12.75" hidden="1" outlineLevel="1">
      <c r="A60" s="19" t="s">
        <v>105</v>
      </c>
      <c r="B60" s="38">
        <f t="shared" si="27"/>
        <v>389</v>
      </c>
      <c r="C60" s="59">
        <f t="shared" si="28"/>
        <v>0.49999999999999645</v>
      </c>
      <c r="E60" s="22">
        <v>30</v>
      </c>
      <c r="H60" s="38">
        <f t="shared" si="35"/>
        <v>29</v>
      </c>
      <c r="J60" s="38">
        <f>B60+H60</f>
        <v>418</v>
      </c>
      <c r="K60" s="35">
        <f t="shared" si="30"/>
        <v>0.3399999999999963</v>
      </c>
      <c r="L60" s="44">
        <f t="shared" si="31"/>
        <v>1506</v>
      </c>
      <c r="M60" s="84">
        <f t="shared" si="38"/>
        <v>0.037989052291703455</v>
      </c>
      <c r="N60" s="195">
        <f>J60*(F51/100)+K60</f>
        <v>435.06</v>
      </c>
      <c r="O60" s="129">
        <f t="shared" si="32"/>
        <v>530</v>
      </c>
      <c r="P60" s="82">
        <f t="shared" si="37"/>
        <v>-94.94</v>
      </c>
      <c r="Q60" s="198">
        <f t="shared" si="36"/>
        <v>-0.1791320754716981</v>
      </c>
    </row>
    <row r="61" spans="1:17" ht="12.75" hidden="1" outlineLevel="1">
      <c r="A61" s="19" t="s">
        <v>9</v>
      </c>
      <c r="B61" s="38">
        <f t="shared" si="27"/>
        <v>855</v>
      </c>
      <c r="C61" s="59">
        <f t="shared" si="28"/>
        <v>0.10999999999999943</v>
      </c>
      <c r="E61" s="22">
        <v>30</v>
      </c>
      <c r="H61" s="38">
        <f t="shared" si="35"/>
        <v>28</v>
      </c>
      <c r="J61" s="38">
        <f>B61+H61</f>
        <v>883</v>
      </c>
      <c r="K61" s="35">
        <f t="shared" si="30"/>
        <v>0.9899999999999984</v>
      </c>
      <c r="L61" s="44">
        <f t="shared" si="31"/>
        <v>3368</v>
      </c>
      <c r="M61" s="84">
        <f t="shared" si="38"/>
        <v>0.08495825240269404</v>
      </c>
      <c r="N61" s="195">
        <f>J61*(F51/100)+K61</f>
        <v>919.3100000000001</v>
      </c>
      <c r="O61" s="129">
        <f t="shared" si="32"/>
        <v>1160</v>
      </c>
      <c r="P61" s="82">
        <f t="shared" si="37"/>
        <v>-240.68999999999994</v>
      </c>
      <c r="Q61" s="198">
        <f t="shared" si="36"/>
        <v>-0.20749137931034478</v>
      </c>
    </row>
    <row r="62" spans="1:17" ht="12.75" hidden="1" outlineLevel="1">
      <c r="A62" s="19" t="s">
        <v>49</v>
      </c>
      <c r="B62" s="38">
        <f t="shared" si="27"/>
        <v>640</v>
      </c>
      <c r="C62" s="59">
        <f t="shared" si="28"/>
        <v>0.29000000000000625</v>
      </c>
      <c r="E62" s="22">
        <v>30</v>
      </c>
      <c r="H62" s="38">
        <f t="shared" si="35"/>
        <v>29</v>
      </c>
      <c r="J62" s="38">
        <f>B62+H62</f>
        <v>669</v>
      </c>
      <c r="K62" s="35">
        <f t="shared" si="30"/>
        <v>0.1300000000000061</v>
      </c>
      <c r="L62" s="44">
        <f t="shared" si="31"/>
        <v>2468</v>
      </c>
      <c r="M62" s="84">
        <f t="shared" si="38"/>
        <v>0.062255631511237794</v>
      </c>
      <c r="N62" s="195">
        <f>J62*(F51/100)+K62</f>
        <v>695.89</v>
      </c>
      <c r="O62" s="129">
        <f t="shared" si="32"/>
        <v>950</v>
      </c>
      <c r="P62" s="82">
        <f t="shared" si="37"/>
        <v>-254.11</v>
      </c>
      <c r="Q62" s="198">
        <f>P62/O62</f>
        <v>-0.2674842105263158</v>
      </c>
    </row>
    <row r="63" spans="1:17" ht="12.75" hidden="1" outlineLevel="1">
      <c r="A63" s="19" t="s">
        <v>53</v>
      </c>
      <c r="B63" s="38">
        <f t="shared" si="27"/>
        <v>598</v>
      </c>
      <c r="C63" s="59">
        <f t="shared" si="28"/>
        <v>1.0799999999999983</v>
      </c>
      <c r="E63" s="22">
        <v>30</v>
      </c>
      <c r="H63" s="38">
        <f t="shared" si="35"/>
        <v>29</v>
      </c>
      <c r="J63" s="38">
        <f>B63+H63</f>
        <v>627</v>
      </c>
      <c r="K63" s="35">
        <f t="shared" si="30"/>
        <v>0.9199999999999982</v>
      </c>
      <c r="L63" s="44">
        <f t="shared" si="31"/>
        <v>2343</v>
      </c>
      <c r="M63" s="84">
        <f t="shared" si="38"/>
        <v>0.05910248972075776</v>
      </c>
      <c r="N63" s="195">
        <f>J63*(F51/100)+K63</f>
        <v>653</v>
      </c>
      <c r="O63" s="129">
        <f t="shared" si="32"/>
        <v>890</v>
      </c>
      <c r="P63" s="82">
        <f t="shared" si="37"/>
        <v>-237</v>
      </c>
      <c r="Q63" s="198">
        <f>P63/O63</f>
        <v>-0.2662921348314607</v>
      </c>
    </row>
    <row r="64" spans="1:17" ht="12.75" hidden="1" outlineLevel="1">
      <c r="A64" s="19" t="s">
        <v>8</v>
      </c>
      <c r="B64" s="38">
        <f t="shared" si="27"/>
        <v>855</v>
      </c>
      <c r="C64" s="59">
        <f t="shared" si="28"/>
        <v>0.10999999999999943</v>
      </c>
      <c r="E64" s="22">
        <v>30</v>
      </c>
      <c r="H64" s="38">
        <f t="shared" si="35"/>
        <v>28</v>
      </c>
      <c r="J64" s="38">
        <f>B64+H64</f>
        <v>883</v>
      </c>
      <c r="K64" s="35">
        <f t="shared" si="30"/>
        <v>0.9899999999999984</v>
      </c>
      <c r="L64" s="44">
        <f>L48+J64</f>
        <v>3368</v>
      </c>
      <c r="M64" s="84">
        <f t="shared" si="38"/>
        <v>0.08495825240269404</v>
      </c>
      <c r="N64" s="195">
        <f>J64*(F51/100)+K64</f>
        <v>919.3100000000001</v>
      </c>
      <c r="O64" s="129">
        <f t="shared" si="32"/>
        <v>1160</v>
      </c>
      <c r="P64" s="82">
        <f t="shared" si="37"/>
        <v>-240.68999999999994</v>
      </c>
      <c r="Q64" s="198">
        <f>P64/O64</f>
        <v>-0.20749137931034478</v>
      </c>
    </row>
    <row r="65" spans="5:17" ht="12.75" collapsed="1">
      <c r="E65" s="22">
        <f>SUM(E51:E64)</f>
        <v>420</v>
      </c>
      <c r="J65" s="69">
        <f>SUM(J51:J64)</f>
        <v>10499</v>
      </c>
      <c r="K65" s="35">
        <f>SUM(K51:K64)</f>
        <v>9.189999999999998</v>
      </c>
      <c r="L65" s="70">
        <f>SUM(L51:L64)</f>
        <v>39643</v>
      </c>
      <c r="M65" s="84">
        <f>SUM(M51:M64)</f>
        <v>1</v>
      </c>
      <c r="N65" s="195"/>
      <c r="P65" s="243"/>
      <c r="Q65" s="199"/>
    </row>
    <row r="66" spans="1:17" ht="12.75">
      <c r="A66" s="36">
        <v>37469</v>
      </c>
      <c r="C66" s="59"/>
      <c r="N66" s="195"/>
      <c r="P66" s="243"/>
      <c r="Q66" s="199"/>
    </row>
    <row r="67" spans="1:17" ht="12.75" hidden="1" outlineLevel="1">
      <c r="A67" s="19" t="s">
        <v>5</v>
      </c>
      <c r="B67" s="38">
        <f>J51</f>
        <v>883</v>
      </c>
      <c r="C67" s="59">
        <f aca="true" t="shared" si="39" ref="C67:C80">K51</f>
        <v>0.9899999999999984</v>
      </c>
      <c r="E67" s="22">
        <v>30</v>
      </c>
      <c r="F67" s="31">
        <f>Assets!I110</f>
        <v>93</v>
      </c>
      <c r="H67" s="38">
        <f>INT(100*(C67+E67)/F$67)</f>
        <v>33</v>
      </c>
      <c r="J67" s="38">
        <f>B67+H67</f>
        <v>916</v>
      </c>
      <c r="K67" s="35">
        <f>(E67+C67)-ROUND(H67*F$67/100,2)</f>
        <v>0.29999999999999716</v>
      </c>
      <c r="L67" s="44">
        <f aca="true" t="shared" si="40" ref="L67:L80">L51+J67</f>
        <v>4284</v>
      </c>
      <c r="M67" s="84">
        <f aca="true" t="shared" si="41" ref="M67:M80">L67/L$81</f>
        <v>0.08466737815723942</v>
      </c>
      <c r="N67" s="195">
        <f>J67*(F67/100)+K67</f>
        <v>852.18</v>
      </c>
      <c r="O67" s="129">
        <f aca="true" t="shared" si="42" ref="O67:O80">O51+E67</f>
        <v>1190</v>
      </c>
      <c r="P67" s="82">
        <f>N67-O67</f>
        <v>-337.82000000000005</v>
      </c>
      <c r="Q67" s="198">
        <f>P67/O67</f>
        <v>-0.28388235294117653</v>
      </c>
    </row>
    <row r="68" spans="1:17" ht="12.75" hidden="1" outlineLevel="1">
      <c r="A68" s="19" t="s">
        <v>54</v>
      </c>
      <c r="B68" s="38">
        <f aca="true" t="shared" si="43" ref="B68:B80">J52</f>
        <v>645</v>
      </c>
      <c r="C68" s="59">
        <f t="shared" si="39"/>
        <v>0.5300000000000047</v>
      </c>
      <c r="E68" s="22">
        <v>30</v>
      </c>
      <c r="H68" s="38">
        <f>INT(100*(C68+E68)/F$67)</f>
        <v>32</v>
      </c>
      <c r="J68" s="38">
        <f aca="true" t="shared" si="44" ref="J68:J75">B68+H68</f>
        <v>677</v>
      </c>
      <c r="K68" s="35">
        <f aca="true" t="shared" si="45" ref="K68:K80">(E68+C68)-ROUND(H68*F$67/100,2)</f>
        <v>0.7700000000000031</v>
      </c>
      <c r="L68" s="44">
        <f t="shared" si="40"/>
        <v>3092</v>
      </c>
      <c r="M68" s="84">
        <f t="shared" si="41"/>
        <v>0.061109134748409025</v>
      </c>
      <c r="N68" s="195">
        <f>J68*(F67/100)+K68</f>
        <v>630.38</v>
      </c>
      <c r="O68" s="129">
        <f t="shared" si="42"/>
        <v>950</v>
      </c>
      <c r="P68" s="82">
        <f>N68-O68</f>
        <v>-319.62</v>
      </c>
      <c r="Q68" s="198">
        <f>P68/O68</f>
        <v>-0.3364421052631579</v>
      </c>
    </row>
    <row r="69" spans="1:17" ht="12.75" hidden="1" outlineLevel="1">
      <c r="A69" s="19" t="s">
        <v>11</v>
      </c>
      <c r="B69" s="38">
        <f t="shared" si="43"/>
        <v>883</v>
      </c>
      <c r="C69" s="59">
        <f t="shared" si="39"/>
        <v>0.9899999999999984</v>
      </c>
      <c r="E69" s="22">
        <v>30</v>
      </c>
      <c r="H69" s="38">
        <f>INT(100*(C69+E69)/F$67)</f>
        <v>33</v>
      </c>
      <c r="J69" s="38">
        <f t="shared" si="44"/>
        <v>916</v>
      </c>
      <c r="K69" s="35">
        <f t="shared" si="45"/>
        <v>0.29999999999999716</v>
      </c>
      <c r="L69" s="44">
        <f t="shared" si="40"/>
        <v>4284</v>
      </c>
      <c r="M69" s="84">
        <f t="shared" si="41"/>
        <v>0.08466737815723942</v>
      </c>
      <c r="N69" s="195">
        <f>J69*(F67/100)+K69</f>
        <v>852.18</v>
      </c>
      <c r="O69" s="129">
        <f t="shared" si="42"/>
        <v>1190</v>
      </c>
      <c r="P69" s="82">
        <f aca="true" t="shared" si="46" ref="P69:P77">N69-O69</f>
        <v>-337.82000000000005</v>
      </c>
      <c r="Q69" s="198">
        <f aca="true" t="shared" si="47" ref="Q69:Q77">P69/O69</f>
        <v>-0.28388235294117653</v>
      </c>
    </row>
    <row r="70" spans="1:17" ht="12.75" hidden="1" outlineLevel="1">
      <c r="A70" s="18" t="s">
        <v>7</v>
      </c>
      <c r="B70" s="38">
        <f t="shared" si="43"/>
        <v>883</v>
      </c>
      <c r="C70" s="59">
        <f t="shared" si="39"/>
        <v>0.9899999999999984</v>
      </c>
      <c r="E70" s="22">
        <v>30</v>
      </c>
      <c r="H70" s="38">
        <f>INT(100*(C70+E70)/F$67)</f>
        <v>33</v>
      </c>
      <c r="J70" s="38">
        <f t="shared" si="44"/>
        <v>916</v>
      </c>
      <c r="K70" s="35">
        <f t="shared" si="45"/>
        <v>0.29999999999999716</v>
      </c>
      <c r="L70" s="44">
        <f t="shared" si="40"/>
        <v>4284</v>
      </c>
      <c r="M70" s="84">
        <f t="shared" si="41"/>
        <v>0.08466737815723942</v>
      </c>
      <c r="N70" s="195">
        <f>J70*(F67/100)+K70</f>
        <v>852.18</v>
      </c>
      <c r="O70" s="129">
        <f t="shared" si="42"/>
        <v>1190</v>
      </c>
      <c r="P70" s="82">
        <f t="shared" si="46"/>
        <v>-337.82000000000005</v>
      </c>
      <c r="Q70" s="198">
        <f t="shared" si="47"/>
        <v>-0.28388235294117653</v>
      </c>
    </row>
    <row r="71" spans="1:17" ht="12.75" hidden="1" outlineLevel="1">
      <c r="A71" s="18" t="s">
        <v>52</v>
      </c>
      <c r="B71" s="38">
        <f t="shared" si="43"/>
        <v>645</v>
      </c>
      <c r="C71" s="59">
        <f t="shared" si="39"/>
        <v>0.060000000000002274</v>
      </c>
      <c r="E71" s="22">
        <v>30</v>
      </c>
      <c r="H71" s="38">
        <f>INT(100*(C71+E71)/F$67)</f>
        <v>32</v>
      </c>
      <c r="J71" s="38">
        <f t="shared" si="44"/>
        <v>677</v>
      </c>
      <c r="K71" s="35">
        <f t="shared" si="45"/>
        <v>0.3000000000000007</v>
      </c>
      <c r="L71" s="44">
        <f t="shared" si="40"/>
        <v>3090</v>
      </c>
      <c r="M71" s="84">
        <f t="shared" si="41"/>
        <v>0.061069607494367364</v>
      </c>
      <c r="N71" s="195">
        <f>J71*(F67/100)+K71</f>
        <v>629.91</v>
      </c>
      <c r="O71" s="129">
        <f t="shared" si="42"/>
        <v>950</v>
      </c>
      <c r="P71" s="82">
        <f t="shared" si="46"/>
        <v>-320.09000000000003</v>
      </c>
      <c r="Q71" s="198">
        <f t="shared" si="47"/>
        <v>-0.3369368421052632</v>
      </c>
    </row>
    <row r="72" spans="1:17" ht="12.75" hidden="1" outlineLevel="1">
      <c r="A72" s="18" t="s">
        <v>56</v>
      </c>
      <c r="B72" s="38">
        <f t="shared" si="43"/>
        <v>668</v>
      </c>
      <c r="C72" s="59">
        <f t="shared" si="39"/>
        <v>0.9999999999999964</v>
      </c>
      <c r="E72" s="22">
        <v>30</v>
      </c>
      <c r="H72" s="38">
        <f aca="true" t="shared" si="48" ref="H72:H79">INT(100*(C72+E72)/F$67)</f>
        <v>33</v>
      </c>
      <c r="J72" s="38">
        <f t="shared" si="44"/>
        <v>701</v>
      </c>
      <c r="K72" s="35">
        <f t="shared" si="45"/>
        <v>0.30999999999999517</v>
      </c>
      <c r="L72" s="44">
        <f t="shared" si="40"/>
        <v>3209</v>
      </c>
      <c r="M72" s="84">
        <f t="shared" si="41"/>
        <v>0.06342147910984623</v>
      </c>
      <c r="N72" s="195">
        <f>J72*(F67/100)+K72</f>
        <v>652.24</v>
      </c>
      <c r="O72" s="129">
        <f t="shared" si="42"/>
        <v>980</v>
      </c>
      <c r="P72" s="82">
        <f t="shared" si="46"/>
        <v>-327.76</v>
      </c>
      <c r="Q72" s="198">
        <f t="shared" si="47"/>
        <v>-0.3344489795918367</v>
      </c>
    </row>
    <row r="73" spans="1:17" ht="12.75" hidden="1" outlineLevel="1">
      <c r="A73" s="19" t="s">
        <v>6</v>
      </c>
      <c r="B73" s="38">
        <f t="shared" si="43"/>
        <v>883</v>
      </c>
      <c r="C73" s="59">
        <f t="shared" si="39"/>
        <v>0.9899999999999984</v>
      </c>
      <c r="E73" s="22">
        <v>30</v>
      </c>
      <c r="H73" s="38">
        <f t="shared" si="48"/>
        <v>33</v>
      </c>
      <c r="J73" s="38">
        <f t="shared" si="44"/>
        <v>916</v>
      </c>
      <c r="K73" s="35">
        <f t="shared" si="45"/>
        <v>0.29999999999999716</v>
      </c>
      <c r="L73" s="44">
        <f t="shared" si="40"/>
        <v>4284</v>
      </c>
      <c r="M73" s="84">
        <f t="shared" si="41"/>
        <v>0.08466737815723942</v>
      </c>
      <c r="N73" s="195">
        <f>J73*(F67/100)+K73</f>
        <v>852.18</v>
      </c>
      <c r="O73" s="129">
        <f t="shared" si="42"/>
        <v>1190</v>
      </c>
      <c r="P73" s="82">
        <f t="shared" si="46"/>
        <v>-337.82000000000005</v>
      </c>
      <c r="Q73" s="198">
        <f t="shared" si="47"/>
        <v>-0.28388235294117653</v>
      </c>
    </row>
    <row r="74" spans="1:17" ht="12.75" hidden="1" outlineLevel="1">
      <c r="A74" s="19" t="s">
        <v>50</v>
      </c>
      <c r="B74" s="38">
        <f t="shared" si="43"/>
        <v>645</v>
      </c>
      <c r="C74" s="59">
        <f t="shared" si="39"/>
        <v>0.060000000000002274</v>
      </c>
      <c r="E74" s="22">
        <v>30</v>
      </c>
      <c r="H74" s="38">
        <f t="shared" si="48"/>
        <v>32</v>
      </c>
      <c r="J74" s="38">
        <f t="shared" si="44"/>
        <v>677</v>
      </c>
      <c r="K74" s="35">
        <f t="shared" si="45"/>
        <v>0.3000000000000007</v>
      </c>
      <c r="L74" s="44">
        <f t="shared" si="40"/>
        <v>3090</v>
      </c>
      <c r="M74" s="84">
        <f t="shared" si="41"/>
        <v>0.061069607494367364</v>
      </c>
      <c r="N74" s="195">
        <f>J74*(F67/100)+K74</f>
        <v>629.91</v>
      </c>
      <c r="O74" s="129">
        <f t="shared" si="42"/>
        <v>950</v>
      </c>
      <c r="P74" s="82">
        <f t="shared" si="46"/>
        <v>-320.09000000000003</v>
      </c>
      <c r="Q74" s="198">
        <f t="shared" si="47"/>
        <v>-0.3369368421052632</v>
      </c>
    </row>
    <row r="75" spans="1:17" ht="12.75" hidden="1" outlineLevel="1">
      <c r="A75" s="19" t="s">
        <v>10</v>
      </c>
      <c r="B75" s="38">
        <f t="shared" si="43"/>
        <v>884</v>
      </c>
      <c r="C75" s="59">
        <f t="shared" si="39"/>
        <v>0.21000000000000085</v>
      </c>
      <c r="E75" s="22">
        <v>30</v>
      </c>
      <c r="H75" s="38">
        <f t="shared" si="48"/>
        <v>32</v>
      </c>
      <c r="J75" s="38">
        <f t="shared" si="44"/>
        <v>916</v>
      </c>
      <c r="K75" s="35">
        <f t="shared" si="45"/>
        <v>0.4499999999999993</v>
      </c>
      <c r="L75" s="44">
        <f t="shared" si="40"/>
        <v>4285</v>
      </c>
      <c r="M75" s="84">
        <f t="shared" si="41"/>
        <v>0.08468714178426025</v>
      </c>
      <c r="N75" s="195">
        <f>J75*(F67/100)+K75</f>
        <v>852.33</v>
      </c>
      <c r="O75" s="129">
        <f t="shared" si="42"/>
        <v>1190.28</v>
      </c>
      <c r="P75" s="82">
        <f t="shared" si="46"/>
        <v>-337.94999999999993</v>
      </c>
      <c r="Q75" s="198">
        <f t="shared" si="47"/>
        <v>-0.2839247908055247</v>
      </c>
    </row>
    <row r="76" spans="1:17" ht="12.75" hidden="1" outlineLevel="1">
      <c r="A76" s="19" t="s">
        <v>105</v>
      </c>
      <c r="B76" s="38">
        <f t="shared" si="43"/>
        <v>418</v>
      </c>
      <c r="C76" s="59">
        <f t="shared" si="39"/>
        <v>0.3399999999999963</v>
      </c>
      <c r="E76" s="22">
        <v>30</v>
      </c>
      <c r="H76" s="38">
        <f t="shared" si="48"/>
        <v>32</v>
      </c>
      <c r="J76" s="38">
        <f>B76+H76-I76</f>
        <v>450</v>
      </c>
      <c r="K76" s="35">
        <f t="shared" si="45"/>
        <v>0.5799999999999947</v>
      </c>
      <c r="L76" s="44">
        <f t="shared" si="40"/>
        <v>1956</v>
      </c>
      <c r="M76" s="84">
        <f t="shared" si="41"/>
        <v>0.03865765445274517</v>
      </c>
      <c r="N76" s="195">
        <f>J76*(F67/100)+K76</f>
        <v>419.08</v>
      </c>
      <c r="O76" s="129">
        <f t="shared" si="42"/>
        <v>560</v>
      </c>
      <c r="P76" s="82">
        <f t="shared" si="46"/>
        <v>-140.92000000000002</v>
      </c>
      <c r="Q76" s="198">
        <f t="shared" si="47"/>
        <v>-0.25164285714285717</v>
      </c>
    </row>
    <row r="77" spans="1:17" ht="12.75" hidden="1" outlineLevel="1">
      <c r="A77" s="19" t="s">
        <v>9</v>
      </c>
      <c r="B77" s="38">
        <f t="shared" si="43"/>
        <v>883</v>
      </c>
      <c r="C77" s="59">
        <f t="shared" si="39"/>
        <v>0.9899999999999984</v>
      </c>
      <c r="E77" s="22">
        <v>30</v>
      </c>
      <c r="H77" s="38">
        <f t="shared" si="48"/>
        <v>33</v>
      </c>
      <c r="J77" s="38">
        <f>B77+H77</f>
        <v>916</v>
      </c>
      <c r="K77" s="35">
        <f t="shared" si="45"/>
        <v>0.29999999999999716</v>
      </c>
      <c r="L77" s="44">
        <f t="shared" si="40"/>
        <v>4284</v>
      </c>
      <c r="M77" s="84">
        <f t="shared" si="41"/>
        <v>0.08466737815723942</v>
      </c>
      <c r="N77" s="195">
        <f>J77*(F67/100)+K77</f>
        <v>852.18</v>
      </c>
      <c r="O77" s="129">
        <f t="shared" si="42"/>
        <v>1190</v>
      </c>
      <c r="P77" s="82">
        <f t="shared" si="46"/>
        <v>-337.82000000000005</v>
      </c>
      <c r="Q77" s="198">
        <f t="shared" si="47"/>
        <v>-0.28388235294117653</v>
      </c>
    </row>
    <row r="78" spans="1:17" ht="12.75" hidden="1" outlineLevel="1">
      <c r="A78" s="19" t="s">
        <v>49</v>
      </c>
      <c r="B78" s="38">
        <f t="shared" si="43"/>
        <v>669</v>
      </c>
      <c r="C78" s="59">
        <f t="shared" si="39"/>
        <v>0.1300000000000061</v>
      </c>
      <c r="E78" s="22">
        <v>30</v>
      </c>
      <c r="H78" s="38">
        <f t="shared" si="48"/>
        <v>32</v>
      </c>
      <c r="J78" s="38">
        <f>B78+H78</f>
        <v>701</v>
      </c>
      <c r="K78" s="35">
        <f t="shared" si="45"/>
        <v>0.37000000000000455</v>
      </c>
      <c r="L78" s="44">
        <f t="shared" si="40"/>
        <v>3169</v>
      </c>
      <c r="M78" s="84">
        <f t="shared" si="41"/>
        <v>0.062630934029013</v>
      </c>
      <c r="N78" s="195">
        <f>J78*(F67/100)+K78</f>
        <v>652.3000000000001</v>
      </c>
      <c r="O78" s="129">
        <f t="shared" si="42"/>
        <v>980</v>
      </c>
      <c r="P78" s="82">
        <f>N78-O78</f>
        <v>-327.69999999999993</v>
      </c>
      <c r="Q78" s="198">
        <f>P78/O78</f>
        <v>-0.3343877551020408</v>
      </c>
    </row>
    <row r="79" spans="1:17" ht="12.75" hidden="1" outlineLevel="1">
      <c r="A79" s="19" t="s">
        <v>53</v>
      </c>
      <c r="B79" s="38">
        <f t="shared" si="43"/>
        <v>627</v>
      </c>
      <c r="C79" s="59">
        <f t="shared" si="39"/>
        <v>0.9199999999999982</v>
      </c>
      <c r="E79" s="22">
        <v>30</v>
      </c>
      <c r="H79" s="38">
        <f t="shared" si="48"/>
        <v>33</v>
      </c>
      <c r="J79" s="38">
        <f>B79+H79</f>
        <v>660</v>
      </c>
      <c r="K79" s="35">
        <f t="shared" si="45"/>
        <v>0.22999999999999687</v>
      </c>
      <c r="L79" s="44">
        <f t="shared" si="40"/>
        <v>3003</v>
      </c>
      <c r="M79" s="84">
        <f t="shared" si="41"/>
        <v>0.05935017194355508</v>
      </c>
      <c r="N79" s="195">
        <f>J79*(F67/100)+K79</f>
        <v>614.0300000000001</v>
      </c>
      <c r="O79" s="129">
        <f t="shared" si="42"/>
        <v>920</v>
      </c>
      <c r="P79" s="82">
        <f>N79-O79</f>
        <v>-305.9699999999999</v>
      </c>
      <c r="Q79" s="198">
        <f>P79/O79</f>
        <v>-0.33257608695652163</v>
      </c>
    </row>
    <row r="80" spans="1:17" ht="12.75" hidden="1" outlineLevel="1">
      <c r="A80" s="19" t="s">
        <v>8</v>
      </c>
      <c r="B80" s="38">
        <f t="shared" si="43"/>
        <v>883</v>
      </c>
      <c r="C80" s="59">
        <f t="shared" si="39"/>
        <v>0.9899999999999984</v>
      </c>
      <c r="E80" s="22">
        <v>30</v>
      </c>
      <c r="H80" s="38">
        <f>INT(100*(C80+E80)/F$67)</f>
        <v>33</v>
      </c>
      <c r="J80" s="38">
        <f>B80+H80</f>
        <v>916</v>
      </c>
      <c r="K80" s="35">
        <f t="shared" si="45"/>
        <v>0.29999999999999716</v>
      </c>
      <c r="L80" s="44">
        <f t="shared" si="40"/>
        <v>4284</v>
      </c>
      <c r="M80" s="84">
        <f t="shared" si="41"/>
        <v>0.08466737815723942</v>
      </c>
      <c r="N80" s="195">
        <f>J80*(F67/100)+K80</f>
        <v>852.18</v>
      </c>
      <c r="O80" s="129">
        <f t="shared" si="42"/>
        <v>1190</v>
      </c>
      <c r="P80" s="82">
        <f>N80-O80</f>
        <v>-337.82000000000005</v>
      </c>
      <c r="Q80" s="198">
        <f>P80/O80</f>
        <v>-0.28388235294117653</v>
      </c>
    </row>
    <row r="81" spans="5:17" ht="12.75" collapsed="1">
      <c r="E81" s="22">
        <f>SUM(E67:E80)</f>
        <v>420</v>
      </c>
      <c r="J81" s="69">
        <f>SUM(J67:J80)</f>
        <v>10955</v>
      </c>
      <c r="K81" s="35">
        <f>SUM(K67:K80)</f>
        <v>5.109999999999978</v>
      </c>
      <c r="L81" s="70">
        <f>SUM(L67:L80)</f>
        <v>50598</v>
      </c>
      <c r="M81" s="84">
        <f>SUM(M67:M80)</f>
        <v>1</v>
      </c>
      <c r="O81" s="129"/>
      <c r="P81" s="82"/>
      <c r="Q81" s="198"/>
    </row>
    <row r="82" spans="1:17" ht="12.75">
      <c r="A82" s="36">
        <v>37500</v>
      </c>
      <c r="C82" s="59"/>
      <c r="P82" s="243"/>
      <c r="Q82" s="199"/>
    </row>
    <row r="83" spans="1:17" ht="12.75" hidden="1" outlineLevel="1">
      <c r="A83" s="19" t="s">
        <v>5</v>
      </c>
      <c r="B83" s="38">
        <f aca="true" t="shared" si="49" ref="B83:B93">J67</f>
        <v>916</v>
      </c>
      <c r="C83" s="59">
        <f aca="true" t="shared" si="50" ref="C83:C93">K67</f>
        <v>0.29999999999999716</v>
      </c>
      <c r="E83" s="22">
        <v>30</v>
      </c>
      <c r="F83" s="31">
        <f>Assets!I137</f>
        <v>94</v>
      </c>
      <c r="H83" s="38">
        <f aca="true" t="shared" si="51" ref="H83:H96">INT(100*(C83+E83)/F$83)</f>
        <v>32</v>
      </c>
      <c r="J83" s="38">
        <f>B83+H83</f>
        <v>948</v>
      </c>
      <c r="K83" s="35">
        <f>(E83+C83)-ROUND(H83*F$83/100,2)</f>
        <v>0.21999999999999886</v>
      </c>
      <c r="L83" s="44">
        <f aca="true" t="shared" si="52" ref="L83:L96">L67+J83</f>
        <v>5232</v>
      </c>
      <c r="M83" s="84">
        <f>L83/L$97</f>
        <v>0.08504689608088559</v>
      </c>
      <c r="N83" s="195">
        <f>J83*(F83/100)+K83</f>
        <v>891.34</v>
      </c>
      <c r="O83" s="129">
        <f aca="true" t="shared" si="53" ref="O83:O96">O67+E83</f>
        <v>1220</v>
      </c>
      <c r="P83" s="82">
        <f>N83-O83</f>
        <v>-328.65999999999997</v>
      </c>
      <c r="Q83" s="198">
        <f>P83/O83</f>
        <v>-0.2693934426229508</v>
      </c>
    </row>
    <row r="84" spans="1:17" ht="12.75" hidden="1" outlineLevel="1">
      <c r="A84" s="19" t="s">
        <v>54</v>
      </c>
      <c r="B84" s="38">
        <f t="shared" si="49"/>
        <v>677</v>
      </c>
      <c r="C84" s="59">
        <f t="shared" si="50"/>
        <v>0.7700000000000031</v>
      </c>
      <c r="E84" s="22">
        <v>30</v>
      </c>
      <c r="H84" s="38">
        <f t="shared" si="51"/>
        <v>32</v>
      </c>
      <c r="J84" s="38">
        <f aca="true" t="shared" si="54" ref="J84:J91">B84+H84</f>
        <v>709</v>
      </c>
      <c r="K84" s="35">
        <f aca="true" t="shared" si="55" ref="K84:K96">(E84+C84)-ROUND(H84*F$83/100,2)</f>
        <v>0.6900000000000048</v>
      </c>
      <c r="L84" s="44">
        <f t="shared" si="52"/>
        <v>3801</v>
      </c>
      <c r="M84" s="84">
        <f aca="true" t="shared" si="56" ref="M84:M96">L84/L$97</f>
        <v>0.06178578975601034</v>
      </c>
      <c r="N84" s="195">
        <f>J84*(F83/100)+K84</f>
        <v>667.15</v>
      </c>
      <c r="O84" s="129">
        <f t="shared" si="53"/>
        <v>980</v>
      </c>
      <c r="P84" s="82">
        <f>N84-O84</f>
        <v>-312.85</v>
      </c>
      <c r="Q84" s="198">
        <f>P84/O84</f>
        <v>-0.31923469387755105</v>
      </c>
    </row>
    <row r="85" spans="1:17" ht="12.75" hidden="1" outlineLevel="1">
      <c r="A85" s="19" t="s">
        <v>11</v>
      </c>
      <c r="B85" s="38">
        <f t="shared" si="49"/>
        <v>916</v>
      </c>
      <c r="C85" s="59">
        <f t="shared" si="50"/>
        <v>0.29999999999999716</v>
      </c>
      <c r="E85" s="22">
        <v>30</v>
      </c>
      <c r="H85" s="38">
        <f t="shared" si="51"/>
        <v>32</v>
      </c>
      <c r="J85" s="38">
        <f t="shared" si="54"/>
        <v>948</v>
      </c>
      <c r="K85" s="35">
        <f t="shared" si="55"/>
        <v>0.21999999999999886</v>
      </c>
      <c r="L85" s="44">
        <f t="shared" si="52"/>
        <v>5232</v>
      </c>
      <c r="M85" s="84">
        <f t="shared" si="56"/>
        <v>0.08504689608088559</v>
      </c>
      <c r="N85" s="195">
        <f>J85*(F83/100)+K85</f>
        <v>891.34</v>
      </c>
      <c r="O85" s="129">
        <f t="shared" si="53"/>
        <v>1220</v>
      </c>
      <c r="P85" s="82">
        <f aca="true" t="shared" si="57" ref="P85:P93">N85-O85</f>
        <v>-328.65999999999997</v>
      </c>
      <c r="Q85" s="198">
        <f aca="true" t="shared" si="58" ref="Q85:Q93">P85/O85</f>
        <v>-0.2693934426229508</v>
      </c>
    </row>
    <row r="86" spans="1:17" ht="12.75" hidden="1" outlineLevel="1">
      <c r="A86" s="18" t="s">
        <v>7</v>
      </c>
      <c r="B86" s="38">
        <f t="shared" si="49"/>
        <v>916</v>
      </c>
      <c r="C86" s="59">
        <f t="shared" si="50"/>
        <v>0.29999999999999716</v>
      </c>
      <c r="E86" s="22">
        <v>30</v>
      </c>
      <c r="H86" s="38">
        <f t="shared" si="51"/>
        <v>32</v>
      </c>
      <c r="J86" s="38">
        <f t="shared" si="54"/>
        <v>948</v>
      </c>
      <c r="K86" s="35">
        <f t="shared" si="55"/>
        <v>0.21999999999999886</v>
      </c>
      <c r="L86" s="44">
        <f t="shared" si="52"/>
        <v>5232</v>
      </c>
      <c r="M86" s="84">
        <f t="shared" si="56"/>
        <v>0.08504689608088559</v>
      </c>
      <c r="N86" s="195">
        <f>J86*(F83/100)+K86</f>
        <v>891.34</v>
      </c>
      <c r="O86" s="129">
        <f t="shared" si="53"/>
        <v>1220</v>
      </c>
      <c r="P86" s="82">
        <f t="shared" si="57"/>
        <v>-328.65999999999997</v>
      </c>
      <c r="Q86" s="198">
        <f t="shared" si="58"/>
        <v>-0.2693934426229508</v>
      </c>
    </row>
    <row r="87" spans="1:17" ht="12.75" hidden="1" outlineLevel="1">
      <c r="A87" s="18" t="s">
        <v>52</v>
      </c>
      <c r="B87" s="38">
        <f t="shared" si="49"/>
        <v>677</v>
      </c>
      <c r="C87" s="59">
        <f t="shared" si="50"/>
        <v>0.3000000000000007</v>
      </c>
      <c r="E87" s="22">
        <v>30</v>
      </c>
      <c r="H87" s="38">
        <f t="shared" si="51"/>
        <v>32</v>
      </c>
      <c r="J87" s="38">
        <f t="shared" si="54"/>
        <v>709</v>
      </c>
      <c r="K87" s="35">
        <f t="shared" si="55"/>
        <v>0.22000000000000242</v>
      </c>
      <c r="L87" s="44">
        <f t="shared" si="52"/>
        <v>3799</v>
      </c>
      <c r="M87" s="84">
        <f t="shared" si="56"/>
        <v>0.061753279474633854</v>
      </c>
      <c r="N87" s="195">
        <f>J87*(F83/100)+K87</f>
        <v>666.68</v>
      </c>
      <c r="O87" s="129">
        <f t="shared" si="53"/>
        <v>980</v>
      </c>
      <c r="P87" s="82">
        <f t="shared" si="57"/>
        <v>-313.32000000000005</v>
      </c>
      <c r="Q87" s="198">
        <f t="shared" si="58"/>
        <v>-0.3197142857142858</v>
      </c>
    </row>
    <row r="88" spans="1:17" ht="12.75" hidden="1" outlineLevel="1">
      <c r="A88" s="18" t="s">
        <v>56</v>
      </c>
      <c r="B88" s="38">
        <f t="shared" si="49"/>
        <v>701</v>
      </c>
      <c r="C88" s="59">
        <f t="shared" si="50"/>
        <v>0.30999999999999517</v>
      </c>
      <c r="E88" s="22">
        <v>30.27</v>
      </c>
      <c r="H88" s="38">
        <f t="shared" si="51"/>
        <v>32</v>
      </c>
      <c r="J88" s="38">
        <f>B88+H88</f>
        <v>733</v>
      </c>
      <c r="K88" s="35">
        <f t="shared" si="55"/>
        <v>0.49999999999999645</v>
      </c>
      <c r="L88" s="44">
        <f t="shared" si="52"/>
        <v>3942</v>
      </c>
      <c r="M88" s="84">
        <f t="shared" si="56"/>
        <v>0.06407776459305255</v>
      </c>
      <c r="N88" s="195">
        <f>J88*(F83/100)+K88</f>
        <v>689.52</v>
      </c>
      <c r="O88" s="129">
        <f t="shared" si="53"/>
        <v>1010.27</v>
      </c>
      <c r="P88" s="82">
        <f t="shared" si="57"/>
        <v>-320.75</v>
      </c>
      <c r="Q88" s="198">
        <f t="shared" si="58"/>
        <v>-0.3174893840260524</v>
      </c>
    </row>
    <row r="89" spans="1:17" ht="12.75" hidden="1" outlineLevel="1">
      <c r="A89" s="19" t="s">
        <v>6</v>
      </c>
      <c r="B89" s="38">
        <f t="shared" si="49"/>
        <v>916</v>
      </c>
      <c r="C89" s="59">
        <f t="shared" si="50"/>
        <v>0.29999999999999716</v>
      </c>
      <c r="E89" s="22">
        <v>30</v>
      </c>
      <c r="H89" s="38">
        <f t="shared" si="51"/>
        <v>32</v>
      </c>
      <c r="J89" s="38">
        <f t="shared" si="54"/>
        <v>948</v>
      </c>
      <c r="K89" s="35">
        <f t="shared" si="55"/>
        <v>0.21999999999999886</v>
      </c>
      <c r="L89" s="44">
        <f t="shared" si="52"/>
        <v>5232</v>
      </c>
      <c r="M89" s="84">
        <f t="shared" si="56"/>
        <v>0.08504689608088559</v>
      </c>
      <c r="N89" s="195">
        <f>J89*(F83/100)+K89</f>
        <v>891.34</v>
      </c>
      <c r="O89" s="129">
        <f t="shared" si="53"/>
        <v>1220</v>
      </c>
      <c r="P89" s="82">
        <f t="shared" si="57"/>
        <v>-328.65999999999997</v>
      </c>
      <c r="Q89" s="198">
        <f t="shared" si="58"/>
        <v>-0.2693934426229508</v>
      </c>
    </row>
    <row r="90" spans="1:17" ht="12.75" hidden="1" outlineLevel="1">
      <c r="A90" s="19" t="s">
        <v>50</v>
      </c>
      <c r="B90" s="38">
        <f t="shared" si="49"/>
        <v>677</v>
      </c>
      <c r="C90" s="59">
        <f t="shared" si="50"/>
        <v>0.3000000000000007</v>
      </c>
      <c r="E90" s="22">
        <v>30</v>
      </c>
      <c r="H90" s="38">
        <f t="shared" si="51"/>
        <v>32</v>
      </c>
      <c r="J90" s="38">
        <f t="shared" si="54"/>
        <v>709</v>
      </c>
      <c r="K90" s="35">
        <f t="shared" si="55"/>
        <v>0.22000000000000242</v>
      </c>
      <c r="L90" s="44">
        <f t="shared" si="52"/>
        <v>3799</v>
      </c>
      <c r="M90" s="84">
        <f t="shared" si="56"/>
        <v>0.061753279474633854</v>
      </c>
      <c r="N90" s="195">
        <f>J90*(F83/100)+K90</f>
        <v>666.68</v>
      </c>
      <c r="O90" s="129">
        <f t="shared" si="53"/>
        <v>980</v>
      </c>
      <c r="P90" s="82">
        <f t="shared" si="57"/>
        <v>-313.32000000000005</v>
      </c>
      <c r="Q90" s="198">
        <f t="shared" si="58"/>
        <v>-0.3197142857142858</v>
      </c>
    </row>
    <row r="91" spans="1:17" ht="12.75" hidden="1" outlineLevel="1">
      <c r="A91" s="19" t="s">
        <v>10</v>
      </c>
      <c r="B91" s="38">
        <f t="shared" si="49"/>
        <v>916</v>
      </c>
      <c r="C91" s="59">
        <f t="shared" si="50"/>
        <v>0.4499999999999993</v>
      </c>
      <c r="E91" s="22">
        <v>30</v>
      </c>
      <c r="H91" s="38">
        <f t="shared" si="51"/>
        <v>32</v>
      </c>
      <c r="J91" s="38">
        <f t="shared" si="54"/>
        <v>948</v>
      </c>
      <c r="K91" s="35">
        <f>(E91+C91)-ROUND(H91*F$83/100,2)</f>
        <v>0.370000000000001</v>
      </c>
      <c r="L91" s="44">
        <f t="shared" si="52"/>
        <v>5233</v>
      </c>
      <c r="M91" s="84">
        <f t="shared" si="56"/>
        <v>0.08506315122157382</v>
      </c>
      <c r="N91" s="195">
        <f>J91*(F83/100)+K91</f>
        <v>891.49</v>
      </c>
      <c r="O91" s="129">
        <f t="shared" si="53"/>
        <v>1220.28</v>
      </c>
      <c r="P91" s="82">
        <f t="shared" si="57"/>
        <v>-328.78999999999996</v>
      </c>
      <c r="Q91" s="198">
        <f t="shared" si="58"/>
        <v>-0.26943816173337265</v>
      </c>
    </row>
    <row r="92" spans="1:17" ht="12.75" hidden="1" outlineLevel="1">
      <c r="A92" s="19" t="s">
        <v>105</v>
      </c>
      <c r="B92" s="38">
        <f t="shared" si="49"/>
        <v>450</v>
      </c>
      <c r="C92" s="59">
        <f t="shared" si="50"/>
        <v>0.5799999999999947</v>
      </c>
      <c r="D92" s="22">
        <f>B92*F83/100+C92</f>
        <v>423.58</v>
      </c>
      <c r="E92" s="22">
        <v>0</v>
      </c>
      <c r="H92" s="38">
        <f t="shared" si="51"/>
        <v>0</v>
      </c>
      <c r="I92" s="18">
        <v>450</v>
      </c>
      <c r="J92" s="38">
        <f>B92+H92-I92</f>
        <v>0</v>
      </c>
      <c r="K92" s="35">
        <f>(E92+C92)-ROUND(H92*F$83/100,2)-D92+ROUND(I92*F$83/100,2)</f>
        <v>0</v>
      </c>
      <c r="L92" s="44">
        <f>L76+J92</f>
        <v>1956</v>
      </c>
      <c r="M92" s="84">
        <f>L92/L$97</f>
        <v>0.03179505518620264</v>
      </c>
      <c r="N92" s="195"/>
      <c r="O92" s="129"/>
      <c r="P92" s="82"/>
      <c r="Q92" s="198"/>
    </row>
    <row r="93" spans="1:17" ht="12.75" hidden="1" outlineLevel="1">
      <c r="A93" s="19" t="s">
        <v>9</v>
      </c>
      <c r="B93" s="38">
        <f t="shared" si="49"/>
        <v>916</v>
      </c>
      <c r="C93" s="59">
        <f t="shared" si="50"/>
        <v>0.29999999999999716</v>
      </c>
      <c r="E93" s="22">
        <v>30</v>
      </c>
      <c r="H93" s="38">
        <f t="shared" si="51"/>
        <v>32</v>
      </c>
      <c r="J93" s="38">
        <f>B93+H93</f>
        <v>948</v>
      </c>
      <c r="K93" s="35">
        <f t="shared" si="55"/>
        <v>0.21999999999999886</v>
      </c>
      <c r="L93" s="44">
        <f t="shared" si="52"/>
        <v>5232</v>
      </c>
      <c r="M93" s="84">
        <f t="shared" si="56"/>
        <v>0.08504689608088559</v>
      </c>
      <c r="N93" s="195">
        <f>J93*(F83/100)+K93</f>
        <v>891.34</v>
      </c>
      <c r="O93" s="129">
        <f t="shared" si="53"/>
        <v>1220</v>
      </c>
      <c r="P93" s="82">
        <f t="shared" si="57"/>
        <v>-328.65999999999997</v>
      </c>
      <c r="Q93" s="198">
        <f t="shared" si="58"/>
        <v>-0.2693934426229508</v>
      </c>
    </row>
    <row r="94" spans="1:17" ht="12.75" hidden="1" outlineLevel="1">
      <c r="A94" s="19" t="s">
        <v>49</v>
      </c>
      <c r="B94" s="38">
        <f aca="true" t="shared" si="59" ref="B94:C96">J78</f>
        <v>701</v>
      </c>
      <c r="C94" s="59">
        <f t="shared" si="59"/>
        <v>0.37000000000000455</v>
      </c>
      <c r="E94" s="22">
        <v>30</v>
      </c>
      <c r="H94" s="38">
        <f t="shared" si="51"/>
        <v>32</v>
      </c>
      <c r="J94" s="38">
        <f>B94+H94</f>
        <v>733</v>
      </c>
      <c r="K94" s="35">
        <f t="shared" si="55"/>
        <v>0.29000000000000625</v>
      </c>
      <c r="L94" s="44">
        <f t="shared" si="52"/>
        <v>3902</v>
      </c>
      <c r="M94" s="84">
        <f t="shared" si="56"/>
        <v>0.06342755896552285</v>
      </c>
      <c r="N94" s="195">
        <f>J94*(F83/100)+K94</f>
        <v>689.31</v>
      </c>
      <c r="O94" s="129">
        <f t="shared" si="53"/>
        <v>1010</v>
      </c>
      <c r="P94" s="82">
        <f>N94-O94</f>
        <v>-320.69000000000005</v>
      </c>
      <c r="Q94" s="198">
        <f>P94/O94</f>
        <v>-0.3175148514851486</v>
      </c>
    </row>
    <row r="95" spans="1:17" ht="12.75" hidden="1" outlineLevel="1">
      <c r="A95" s="19" t="s">
        <v>53</v>
      </c>
      <c r="B95" s="38">
        <f t="shared" si="59"/>
        <v>660</v>
      </c>
      <c r="C95" s="59">
        <f t="shared" si="59"/>
        <v>0.22999999999999687</v>
      </c>
      <c r="E95" s="22">
        <v>30</v>
      </c>
      <c r="H95" s="38">
        <f t="shared" si="51"/>
        <v>32</v>
      </c>
      <c r="J95" s="38">
        <f>B95+H95</f>
        <v>692</v>
      </c>
      <c r="K95" s="35">
        <f t="shared" si="55"/>
        <v>0.14999999999999858</v>
      </c>
      <c r="L95" s="44">
        <f t="shared" si="52"/>
        <v>3695</v>
      </c>
      <c r="M95" s="84">
        <f t="shared" si="56"/>
        <v>0.06006274484305662</v>
      </c>
      <c r="N95" s="195">
        <f>J95*(F83/100)+K95</f>
        <v>650.63</v>
      </c>
      <c r="O95" s="129">
        <f t="shared" si="53"/>
        <v>950</v>
      </c>
      <c r="P95" s="82">
        <f>N95-O95</f>
        <v>-299.37</v>
      </c>
      <c r="Q95" s="198">
        <f>P95/O95</f>
        <v>-0.3151263157894737</v>
      </c>
    </row>
    <row r="96" spans="1:17" ht="12.75" hidden="1" outlineLevel="1">
      <c r="A96" s="19" t="s">
        <v>8</v>
      </c>
      <c r="B96" s="38">
        <f t="shared" si="59"/>
        <v>916</v>
      </c>
      <c r="C96" s="59">
        <f>K80</f>
        <v>0.29999999999999716</v>
      </c>
      <c r="E96" s="22">
        <v>30</v>
      </c>
      <c r="H96" s="38">
        <f t="shared" si="51"/>
        <v>32</v>
      </c>
      <c r="J96" s="38">
        <f>B96+H96</f>
        <v>948</v>
      </c>
      <c r="K96" s="35">
        <f t="shared" si="55"/>
        <v>0.21999999999999886</v>
      </c>
      <c r="L96" s="44">
        <f t="shared" si="52"/>
        <v>5232</v>
      </c>
      <c r="M96" s="84">
        <f t="shared" si="56"/>
        <v>0.08504689608088559</v>
      </c>
      <c r="N96" s="195">
        <f>J96*(F83/100)+K96</f>
        <v>891.34</v>
      </c>
      <c r="O96" s="129">
        <f t="shared" si="53"/>
        <v>1220</v>
      </c>
      <c r="P96" s="82">
        <f>N96-O96</f>
        <v>-328.65999999999997</v>
      </c>
      <c r="Q96" s="198">
        <f>P96/O96</f>
        <v>-0.2693934426229508</v>
      </c>
    </row>
    <row r="97" spans="5:17" ht="12.75" collapsed="1">
      <c r="E97" s="22">
        <f>SUM(E83:E96)</f>
        <v>390.27</v>
      </c>
      <c r="J97" s="69">
        <f>SUM(J83:J96)</f>
        <v>10921</v>
      </c>
      <c r="K97" s="35">
        <f>SUM(K83:K96)</f>
        <v>3.760000000000005</v>
      </c>
      <c r="L97" s="70">
        <f>SUM(L83:L96)</f>
        <v>61519</v>
      </c>
      <c r="M97" s="84">
        <f>SUM(M83:M96)</f>
        <v>1</v>
      </c>
      <c r="O97" s="129"/>
      <c r="P97" s="82"/>
      <c r="Q97" s="198"/>
    </row>
    <row r="98" spans="1:17" ht="12.75">
      <c r="A98" s="36">
        <v>37530</v>
      </c>
      <c r="C98" s="59"/>
      <c r="P98" s="243"/>
      <c r="Q98" s="199"/>
    </row>
    <row r="99" spans="1:17" ht="12.75" hidden="1" outlineLevel="1">
      <c r="A99" s="19" t="s">
        <v>5</v>
      </c>
      <c r="B99" s="38">
        <f aca="true" t="shared" si="60" ref="B99:B109">J83</f>
        <v>948</v>
      </c>
      <c r="C99" s="59">
        <f aca="true" t="shared" si="61" ref="C99:C112">K83</f>
        <v>0.21999999999999886</v>
      </c>
      <c r="E99" s="22">
        <v>30</v>
      </c>
      <c r="F99" s="31">
        <f>Assets!I166</f>
        <v>87</v>
      </c>
      <c r="H99" s="38">
        <f>INT(100*(C99+E99)/F$99)</f>
        <v>34</v>
      </c>
      <c r="J99" s="38">
        <f>B99+H99</f>
        <v>982</v>
      </c>
      <c r="K99" s="35">
        <f aca="true" t="shared" si="62" ref="K99:K104">(E99+C99)-ROUND(H99*F$99/100,2)</f>
        <v>0.6400000000000006</v>
      </c>
      <c r="L99" s="44">
        <f>L83+J99</f>
        <v>6214</v>
      </c>
      <c r="M99" s="84">
        <f>L99/L$113</f>
        <v>0.08611657751046314</v>
      </c>
      <c r="N99" s="195">
        <f>J99*(F99/100)+K99</f>
        <v>854.98</v>
      </c>
      <c r="O99" s="129">
        <f>O83+E99</f>
        <v>1250</v>
      </c>
      <c r="P99" s="82">
        <f>N99-O99</f>
        <v>-395.02</v>
      </c>
      <c r="Q99" s="198">
        <f>P99/O99</f>
        <v>-0.31601599999999996</v>
      </c>
    </row>
    <row r="100" spans="1:17" ht="12.75" hidden="1" outlineLevel="1">
      <c r="A100" s="19" t="s">
        <v>54</v>
      </c>
      <c r="B100" s="38">
        <f t="shared" si="60"/>
        <v>709</v>
      </c>
      <c r="C100" s="59">
        <f t="shared" si="61"/>
        <v>0.6900000000000048</v>
      </c>
      <c r="E100" s="22">
        <v>30</v>
      </c>
      <c r="H100" s="38">
        <f>INT(100*(C100+E100)/F$99)</f>
        <v>35</v>
      </c>
      <c r="J100" s="38">
        <f aca="true" t="shared" si="63" ref="J100:J107">B100+H100</f>
        <v>744</v>
      </c>
      <c r="K100" s="35">
        <f t="shared" si="62"/>
        <v>0.24000000000000554</v>
      </c>
      <c r="L100" s="44">
        <f aca="true" t="shared" si="64" ref="L100:L112">L84+J100</f>
        <v>4545</v>
      </c>
      <c r="M100" s="84">
        <f aca="true" t="shared" si="65" ref="M100:M109">L100/L$113</f>
        <v>0.06298677901272208</v>
      </c>
      <c r="N100" s="195">
        <f>J100*(F99/100)+K100</f>
        <v>647.52</v>
      </c>
      <c r="O100" s="129">
        <f aca="true" t="shared" si="66" ref="O100:O112">O84+E100</f>
        <v>1010</v>
      </c>
      <c r="P100" s="82">
        <f>N100-O100</f>
        <v>-362.48</v>
      </c>
      <c r="Q100" s="198">
        <f>P100/O100</f>
        <v>-0.35889108910891093</v>
      </c>
    </row>
    <row r="101" spans="1:17" ht="12.75" hidden="1" outlineLevel="1">
      <c r="A101" s="19" t="s">
        <v>11</v>
      </c>
      <c r="B101" s="38">
        <f t="shared" si="60"/>
        <v>948</v>
      </c>
      <c r="C101" s="59">
        <f t="shared" si="61"/>
        <v>0.21999999999999886</v>
      </c>
      <c r="E101" s="22">
        <v>30</v>
      </c>
      <c r="H101" s="38">
        <f>INT(100*(C101+E101)/F$99)</f>
        <v>34</v>
      </c>
      <c r="J101" s="38">
        <f t="shared" si="63"/>
        <v>982</v>
      </c>
      <c r="K101" s="35">
        <f t="shared" si="62"/>
        <v>0.6400000000000006</v>
      </c>
      <c r="L101" s="44">
        <f t="shared" si="64"/>
        <v>6214</v>
      </c>
      <c r="M101" s="84">
        <f t="shared" si="65"/>
        <v>0.08611657751046314</v>
      </c>
      <c r="N101" s="195">
        <f>J101*(F99/100)+K101</f>
        <v>854.98</v>
      </c>
      <c r="O101" s="129">
        <f t="shared" si="66"/>
        <v>1250</v>
      </c>
      <c r="P101" s="82">
        <f aca="true" t="shared" si="67" ref="P101:P109">N101-O101</f>
        <v>-395.02</v>
      </c>
      <c r="Q101" s="198">
        <f aca="true" t="shared" si="68" ref="Q101:Q109">P101/O101</f>
        <v>-0.31601599999999996</v>
      </c>
    </row>
    <row r="102" spans="1:17" ht="12.75" hidden="1" outlineLevel="1">
      <c r="A102" s="18" t="s">
        <v>7</v>
      </c>
      <c r="B102" s="38">
        <f t="shared" si="60"/>
        <v>948</v>
      </c>
      <c r="C102" s="59">
        <f t="shared" si="61"/>
        <v>0.21999999999999886</v>
      </c>
      <c r="E102" s="22">
        <v>30</v>
      </c>
      <c r="H102" s="38">
        <f aca="true" t="shared" si="69" ref="H102:H111">INT(100*(C102+E102)/F$99)</f>
        <v>34</v>
      </c>
      <c r="J102" s="38">
        <f t="shared" si="63"/>
        <v>982</v>
      </c>
      <c r="K102" s="35">
        <f t="shared" si="62"/>
        <v>0.6400000000000006</v>
      </c>
      <c r="L102" s="44">
        <f t="shared" si="64"/>
        <v>6214</v>
      </c>
      <c r="M102" s="84">
        <f t="shared" si="65"/>
        <v>0.08611657751046314</v>
      </c>
      <c r="N102" s="195">
        <f>J102*(F99/100)+K102</f>
        <v>854.98</v>
      </c>
      <c r="O102" s="129">
        <f t="shared" si="66"/>
        <v>1250</v>
      </c>
      <c r="P102" s="82">
        <f t="shared" si="67"/>
        <v>-395.02</v>
      </c>
      <c r="Q102" s="198">
        <f t="shared" si="68"/>
        <v>-0.31601599999999996</v>
      </c>
    </row>
    <row r="103" spans="1:17" ht="12.75" hidden="1" outlineLevel="1">
      <c r="A103" s="18" t="s">
        <v>52</v>
      </c>
      <c r="B103" s="38">
        <f t="shared" si="60"/>
        <v>709</v>
      </c>
      <c r="C103" s="59">
        <f t="shared" si="61"/>
        <v>0.22000000000000242</v>
      </c>
      <c r="E103" s="22">
        <v>30</v>
      </c>
      <c r="H103" s="38">
        <f t="shared" si="69"/>
        <v>34</v>
      </c>
      <c r="J103" s="38">
        <f>B103+H103</f>
        <v>743</v>
      </c>
      <c r="K103" s="35">
        <f t="shared" si="62"/>
        <v>0.6400000000000041</v>
      </c>
      <c r="L103" s="44">
        <f t="shared" si="64"/>
        <v>4542</v>
      </c>
      <c r="M103" s="84">
        <f t="shared" si="65"/>
        <v>0.06294520358103052</v>
      </c>
      <c r="N103" s="195">
        <f>J103*(F99/100)+K103</f>
        <v>647.05</v>
      </c>
      <c r="O103" s="129">
        <f t="shared" si="66"/>
        <v>1010</v>
      </c>
      <c r="P103" s="82">
        <f t="shared" si="67"/>
        <v>-362.95000000000005</v>
      </c>
      <c r="Q103" s="198">
        <f t="shared" si="68"/>
        <v>-0.3593564356435644</v>
      </c>
    </row>
    <row r="104" spans="1:17" ht="12.75" hidden="1" outlineLevel="1">
      <c r="A104" s="18" t="s">
        <v>56</v>
      </c>
      <c r="B104" s="38">
        <f t="shared" si="60"/>
        <v>733</v>
      </c>
      <c r="C104" s="59">
        <f t="shared" si="61"/>
        <v>0.49999999999999645</v>
      </c>
      <c r="E104" s="22">
        <v>30</v>
      </c>
      <c r="H104" s="38">
        <f t="shared" si="69"/>
        <v>35</v>
      </c>
      <c r="J104" s="38">
        <f>B104+H104</f>
        <v>768</v>
      </c>
      <c r="K104" s="35">
        <f t="shared" si="62"/>
        <v>0.04999999999999716</v>
      </c>
      <c r="L104" s="44">
        <f t="shared" si="64"/>
        <v>4710</v>
      </c>
      <c r="M104" s="84">
        <f>L104/L$113</f>
        <v>0.0652734277557582</v>
      </c>
      <c r="N104" s="195">
        <f>J104*(F99/100)+K104</f>
        <v>668.2099999999999</v>
      </c>
      <c r="O104" s="129">
        <f t="shared" si="66"/>
        <v>1040.27</v>
      </c>
      <c r="P104" s="82">
        <f t="shared" si="67"/>
        <v>-372.06000000000006</v>
      </c>
      <c r="Q104" s="198">
        <f t="shared" si="68"/>
        <v>-0.3576571467022985</v>
      </c>
    </row>
    <row r="105" spans="1:17" ht="12.75" hidden="1" outlineLevel="1">
      <c r="A105" s="19" t="s">
        <v>6</v>
      </c>
      <c r="B105" s="38">
        <f t="shared" si="60"/>
        <v>948</v>
      </c>
      <c r="C105" s="59">
        <f t="shared" si="61"/>
        <v>0.21999999999999886</v>
      </c>
      <c r="E105" s="22">
        <v>30</v>
      </c>
      <c r="H105" s="38">
        <f t="shared" si="69"/>
        <v>34</v>
      </c>
      <c r="J105" s="38">
        <f t="shared" si="63"/>
        <v>982</v>
      </c>
      <c r="K105" s="35">
        <f aca="true" t="shared" si="70" ref="K105:K110">(E105+C105)-ROUND(H105*F$99/100,2)</f>
        <v>0.6400000000000006</v>
      </c>
      <c r="L105" s="44">
        <f t="shared" si="64"/>
        <v>6214</v>
      </c>
      <c r="M105" s="84">
        <f t="shared" si="65"/>
        <v>0.08611657751046314</v>
      </c>
      <c r="N105" s="195">
        <f>J105*(F99/100)+K105</f>
        <v>854.98</v>
      </c>
      <c r="O105" s="129">
        <f t="shared" si="66"/>
        <v>1250</v>
      </c>
      <c r="P105" s="82">
        <f t="shared" si="67"/>
        <v>-395.02</v>
      </c>
      <c r="Q105" s="198">
        <f t="shared" si="68"/>
        <v>-0.31601599999999996</v>
      </c>
    </row>
    <row r="106" spans="1:17" ht="12.75" hidden="1" outlineLevel="1">
      <c r="A106" s="19" t="s">
        <v>50</v>
      </c>
      <c r="B106" s="38">
        <f t="shared" si="60"/>
        <v>709</v>
      </c>
      <c r="C106" s="59">
        <f t="shared" si="61"/>
        <v>0.22000000000000242</v>
      </c>
      <c r="E106" s="22">
        <v>30</v>
      </c>
      <c r="H106" s="38">
        <f t="shared" si="69"/>
        <v>34</v>
      </c>
      <c r="J106" s="38">
        <f t="shared" si="63"/>
        <v>743</v>
      </c>
      <c r="K106" s="35">
        <f>(E106+C106)-ROUND(H106*F$99/100,2)</f>
        <v>0.6400000000000041</v>
      </c>
      <c r="L106" s="44">
        <f t="shared" si="64"/>
        <v>4542</v>
      </c>
      <c r="M106" s="84">
        <f t="shared" si="65"/>
        <v>0.06294520358103052</v>
      </c>
      <c r="N106" s="195">
        <f>J106*(F99/100)+K106</f>
        <v>647.05</v>
      </c>
      <c r="O106" s="129">
        <f t="shared" si="66"/>
        <v>1010</v>
      </c>
      <c r="P106" s="82">
        <f t="shared" si="67"/>
        <v>-362.95000000000005</v>
      </c>
      <c r="Q106" s="198">
        <f t="shared" si="68"/>
        <v>-0.3593564356435644</v>
      </c>
    </row>
    <row r="107" spans="1:17" ht="12.75" hidden="1" outlineLevel="1">
      <c r="A107" s="19" t="s">
        <v>10</v>
      </c>
      <c r="B107" s="38">
        <f t="shared" si="60"/>
        <v>948</v>
      </c>
      <c r="C107" s="59">
        <f t="shared" si="61"/>
        <v>0.370000000000001</v>
      </c>
      <c r="E107" s="22">
        <v>30</v>
      </c>
      <c r="H107" s="38">
        <f t="shared" si="69"/>
        <v>34</v>
      </c>
      <c r="J107" s="38">
        <f t="shared" si="63"/>
        <v>982</v>
      </c>
      <c r="K107" s="35">
        <f t="shared" si="70"/>
        <v>0.7900000000000027</v>
      </c>
      <c r="L107" s="44">
        <f t="shared" si="64"/>
        <v>6215</v>
      </c>
      <c r="M107" s="84">
        <f t="shared" si="65"/>
        <v>0.08613043598769367</v>
      </c>
      <c r="N107" s="195">
        <f>J107*(F99/100)+K107</f>
        <v>855.13</v>
      </c>
      <c r="O107" s="129">
        <f t="shared" si="66"/>
        <v>1250.28</v>
      </c>
      <c r="P107" s="82">
        <f t="shared" si="67"/>
        <v>-395.15</v>
      </c>
      <c r="Q107" s="198">
        <f t="shared" si="68"/>
        <v>-0.3160492049780849</v>
      </c>
    </row>
    <row r="108" spans="1:17" ht="12.75" hidden="1" outlineLevel="1">
      <c r="A108" s="19" t="s">
        <v>105</v>
      </c>
      <c r="B108" s="38">
        <f t="shared" si="60"/>
        <v>0</v>
      </c>
      <c r="C108" s="59">
        <f t="shared" si="61"/>
        <v>0</v>
      </c>
      <c r="E108" s="22">
        <v>0</v>
      </c>
      <c r="H108" s="38">
        <f t="shared" si="69"/>
        <v>0</v>
      </c>
      <c r="J108" s="38">
        <f>B108+H108-I108</f>
        <v>0</v>
      </c>
      <c r="K108" s="35">
        <f t="shared" si="70"/>
        <v>0</v>
      </c>
      <c r="L108" s="44">
        <f t="shared" si="64"/>
        <v>1956</v>
      </c>
      <c r="M108" s="84">
        <f t="shared" si="65"/>
        <v>0.027107181462900858</v>
      </c>
      <c r="N108" s="195"/>
      <c r="O108" s="129"/>
      <c r="P108" s="82"/>
      <c r="Q108" s="198"/>
    </row>
    <row r="109" spans="1:17" ht="12.75" hidden="1" outlineLevel="1">
      <c r="A109" s="19" t="s">
        <v>9</v>
      </c>
      <c r="B109" s="38">
        <f t="shared" si="60"/>
        <v>948</v>
      </c>
      <c r="C109" s="59">
        <f t="shared" si="61"/>
        <v>0.21999999999999886</v>
      </c>
      <c r="E109" s="22">
        <v>30</v>
      </c>
      <c r="H109" s="38">
        <f t="shared" si="69"/>
        <v>34</v>
      </c>
      <c r="J109" s="38">
        <f>B109+H109</f>
        <v>982</v>
      </c>
      <c r="K109" s="35">
        <f t="shared" si="70"/>
        <v>0.6400000000000006</v>
      </c>
      <c r="L109" s="44">
        <f t="shared" si="64"/>
        <v>6214</v>
      </c>
      <c r="M109" s="84">
        <f t="shared" si="65"/>
        <v>0.08611657751046314</v>
      </c>
      <c r="N109" s="195">
        <f>J109*(F99/100)+K109</f>
        <v>854.98</v>
      </c>
      <c r="O109" s="129">
        <f t="shared" si="66"/>
        <v>1250</v>
      </c>
      <c r="P109" s="82">
        <f t="shared" si="67"/>
        <v>-395.02</v>
      </c>
      <c r="Q109" s="198">
        <f t="shared" si="68"/>
        <v>-0.31601599999999996</v>
      </c>
    </row>
    <row r="110" spans="1:17" ht="12.75" hidden="1" outlineLevel="1">
      <c r="A110" s="19" t="s">
        <v>49</v>
      </c>
      <c r="B110" s="38">
        <f>J94</f>
        <v>733</v>
      </c>
      <c r="C110" s="59">
        <f t="shared" si="61"/>
        <v>0.29000000000000625</v>
      </c>
      <c r="E110" s="22">
        <v>30</v>
      </c>
      <c r="H110" s="38">
        <f t="shared" si="69"/>
        <v>34</v>
      </c>
      <c r="J110" s="38">
        <f>B110+H110</f>
        <v>767</v>
      </c>
      <c r="K110" s="35">
        <f t="shared" si="70"/>
        <v>0.710000000000008</v>
      </c>
      <c r="L110" s="44">
        <f t="shared" si="64"/>
        <v>4669</v>
      </c>
      <c r="M110" s="84">
        <f>L110/L$113</f>
        <v>0.0647052301893068</v>
      </c>
      <c r="N110" s="195">
        <f>J110*(F99/100)+K110</f>
        <v>668</v>
      </c>
      <c r="O110" s="129">
        <f t="shared" si="66"/>
        <v>1040</v>
      </c>
      <c r="P110" s="82">
        <f>N110-O110</f>
        <v>-372</v>
      </c>
      <c r="Q110" s="198">
        <f>P110/O110</f>
        <v>-0.3576923076923077</v>
      </c>
    </row>
    <row r="111" spans="1:17" ht="12.75" hidden="1" outlineLevel="1">
      <c r="A111" s="19" t="s">
        <v>53</v>
      </c>
      <c r="B111" s="38">
        <f>J95</f>
        <v>692</v>
      </c>
      <c r="C111" s="59">
        <f t="shared" si="61"/>
        <v>0.14999999999999858</v>
      </c>
      <c r="D111" s="22">
        <f>(B111*F99)/100+C111</f>
        <v>602.1899999999999</v>
      </c>
      <c r="H111" s="38">
        <f t="shared" si="69"/>
        <v>0</v>
      </c>
      <c r="I111" s="18">
        <v>692</v>
      </c>
      <c r="J111" s="38">
        <f>B111+H111-I111</f>
        <v>0</v>
      </c>
      <c r="K111" s="35">
        <f>(E111+C111)-ROUND(H111*F$99/100,2)-D111+ROUND(I111*F99/100,2)</f>
        <v>0</v>
      </c>
      <c r="L111" s="44">
        <f t="shared" si="64"/>
        <v>3695</v>
      </c>
      <c r="M111" s="84">
        <f>L111/L$113</f>
        <v>0.05120707336677846</v>
      </c>
      <c r="N111" s="195"/>
      <c r="O111" s="129"/>
      <c r="P111" s="82"/>
      <c r="Q111" s="198"/>
    </row>
    <row r="112" spans="1:17" ht="12.75" hidden="1" outlineLevel="1">
      <c r="A112" s="19" t="s">
        <v>8</v>
      </c>
      <c r="B112" s="38">
        <f>J96</f>
        <v>948</v>
      </c>
      <c r="C112" s="59">
        <f t="shared" si="61"/>
        <v>0.21999999999999886</v>
      </c>
      <c r="E112" s="22">
        <v>30</v>
      </c>
      <c r="H112" s="38">
        <f>INT(100*(C112+E112)/F$99)</f>
        <v>34</v>
      </c>
      <c r="J112" s="38">
        <f>B112+H112</f>
        <v>982</v>
      </c>
      <c r="K112" s="35">
        <f>(E112+C112)-ROUND(H112*F$99/100,2)</f>
        <v>0.6400000000000006</v>
      </c>
      <c r="L112" s="44">
        <f t="shared" si="64"/>
        <v>6214</v>
      </c>
      <c r="M112" s="84">
        <f>L112/L$113</f>
        <v>0.08611657751046314</v>
      </c>
      <c r="N112" s="195">
        <f>J112*(F99/100)+K112</f>
        <v>854.98</v>
      </c>
      <c r="O112" s="129">
        <f t="shared" si="66"/>
        <v>1250</v>
      </c>
      <c r="P112" s="82">
        <f>N112-O112</f>
        <v>-395.02</v>
      </c>
      <c r="Q112" s="198">
        <f>P112/O112</f>
        <v>-0.31601599999999996</v>
      </c>
    </row>
    <row r="113" spans="5:17" ht="12.75" collapsed="1">
      <c r="E113" s="22">
        <f>SUM(E99:E112)</f>
        <v>360</v>
      </c>
      <c r="J113" s="69">
        <f>SUM(J99:J112)</f>
        <v>10639</v>
      </c>
      <c r="K113" s="35">
        <f>SUM(K99:K112)</f>
        <v>6.910000000000025</v>
      </c>
      <c r="L113" s="70">
        <f>SUM(L99:L112)</f>
        <v>72158</v>
      </c>
      <c r="M113" s="84">
        <f>SUM(M99:M112)</f>
        <v>0.9999999999999998</v>
      </c>
      <c r="P113" s="243"/>
      <c r="Q113" s="199"/>
    </row>
    <row r="114" spans="1:17" ht="12.75">
      <c r="A114" s="36">
        <v>37561</v>
      </c>
      <c r="C114" s="59"/>
      <c r="P114" s="243"/>
      <c r="Q114" s="199"/>
    </row>
    <row r="115" spans="1:17" ht="12.75" hidden="1" outlineLevel="1">
      <c r="A115" s="19" t="s">
        <v>5</v>
      </c>
      <c r="B115" s="38">
        <f>J99</f>
        <v>982</v>
      </c>
      <c r="C115" s="59">
        <f aca="true" t="shared" si="71" ref="C115:C128">K99</f>
        <v>0.6400000000000006</v>
      </c>
      <c r="E115" s="22">
        <v>30</v>
      </c>
      <c r="F115" s="31">
        <f>Assets!I194</f>
        <v>90</v>
      </c>
      <c r="H115" s="38">
        <f aca="true" t="shared" si="72" ref="H115:H128">INT(100*(C115+E115)/F$115)</f>
        <v>34</v>
      </c>
      <c r="J115" s="38">
        <f aca="true" t="shared" si="73" ref="J115:J123">B115+H115</f>
        <v>1016</v>
      </c>
      <c r="K115" s="35">
        <f aca="true" t="shared" si="74" ref="K115:K128">(E115+C115)-ROUND(H115*F$115/100,2)</f>
        <v>0.03999999999999915</v>
      </c>
      <c r="L115" s="44">
        <f>L99+J115</f>
        <v>7230</v>
      </c>
      <c r="M115" s="84">
        <f>L115/L$129</f>
        <v>0.08689590519572611</v>
      </c>
      <c r="N115" s="195">
        <f>J115*(F115/100)+K115</f>
        <v>914.4399999999999</v>
      </c>
      <c r="O115" s="129">
        <f>O99+E115</f>
        <v>1280</v>
      </c>
      <c r="P115" s="82">
        <f>N115-O115</f>
        <v>-365.56000000000006</v>
      </c>
      <c r="Q115" s="198">
        <f>P115/O115</f>
        <v>-0.28559375000000004</v>
      </c>
    </row>
    <row r="116" spans="1:17" ht="12.75" hidden="1" outlineLevel="1">
      <c r="A116" s="19" t="s">
        <v>54</v>
      </c>
      <c r="B116" s="38">
        <f aca="true" t="shared" si="75" ref="B116:B125">J100</f>
        <v>744</v>
      </c>
      <c r="C116" s="59">
        <f t="shared" si="71"/>
        <v>0.24000000000000554</v>
      </c>
      <c r="E116" s="22">
        <v>30</v>
      </c>
      <c r="H116" s="38">
        <f t="shared" si="72"/>
        <v>33</v>
      </c>
      <c r="J116" s="38">
        <f t="shared" si="73"/>
        <v>777</v>
      </c>
      <c r="K116" s="35">
        <f t="shared" si="74"/>
        <v>0.5400000000000063</v>
      </c>
      <c r="L116" s="44">
        <f>L100+J116</f>
        <v>5322</v>
      </c>
      <c r="M116" s="84">
        <f>L116/L$129</f>
        <v>0.0639640397581818</v>
      </c>
      <c r="N116" s="195">
        <f>J116*(F115/100)+K116</f>
        <v>699.84</v>
      </c>
      <c r="O116" s="129">
        <f aca="true" t="shared" si="76" ref="O116:O128">O100+E116</f>
        <v>1040</v>
      </c>
      <c r="P116" s="82">
        <f aca="true" t="shared" si="77" ref="P116:P128">N116-O116</f>
        <v>-340.15999999999997</v>
      </c>
      <c r="Q116" s="198">
        <f>P116/O116</f>
        <v>-0.32707692307692304</v>
      </c>
    </row>
    <row r="117" spans="1:17" ht="12.75" hidden="1" outlineLevel="1">
      <c r="A117" s="19" t="s">
        <v>11</v>
      </c>
      <c r="B117" s="38">
        <f t="shared" si="75"/>
        <v>982</v>
      </c>
      <c r="C117" s="59">
        <f t="shared" si="71"/>
        <v>0.6400000000000006</v>
      </c>
      <c r="E117" s="22">
        <v>30</v>
      </c>
      <c r="H117" s="38">
        <f t="shared" si="72"/>
        <v>34</v>
      </c>
      <c r="J117" s="38">
        <f t="shared" si="73"/>
        <v>1016</v>
      </c>
      <c r="K117" s="35">
        <f t="shared" si="74"/>
        <v>0.03999999999999915</v>
      </c>
      <c r="L117" s="44">
        <f aca="true" t="shared" si="78" ref="L117:L128">L101+J117</f>
        <v>7230</v>
      </c>
      <c r="M117" s="84">
        <f aca="true" t="shared" si="79" ref="M117:M126">L117/L$129</f>
        <v>0.08689590519572611</v>
      </c>
      <c r="N117" s="195">
        <f>J117*(F115/100)+K117</f>
        <v>914.4399999999999</v>
      </c>
      <c r="O117" s="129">
        <f t="shared" si="76"/>
        <v>1280</v>
      </c>
      <c r="P117" s="82">
        <f t="shared" si="77"/>
        <v>-365.56000000000006</v>
      </c>
      <c r="Q117" s="198">
        <f aca="true" t="shared" si="80" ref="Q117:Q125">P117/O117</f>
        <v>-0.28559375000000004</v>
      </c>
    </row>
    <row r="118" spans="1:17" ht="12.75" hidden="1" outlineLevel="1">
      <c r="A118" s="18" t="s">
        <v>7</v>
      </c>
      <c r="B118" s="38">
        <f t="shared" si="75"/>
        <v>982</v>
      </c>
      <c r="C118" s="59">
        <f t="shared" si="71"/>
        <v>0.6400000000000006</v>
      </c>
      <c r="E118" s="22">
        <v>30</v>
      </c>
      <c r="H118" s="38">
        <f t="shared" si="72"/>
        <v>34</v>
      </c>
      <c r="J118" s="38">
        <f t="shared" si="73"/>
        <v>1016</v>
      </c>
      <c r="K118" s="35">
        <f t="shared" si="74"/>
        <v>0.03999999999999915</v>
      </c>
      <c r="L118" s="44">
        <f t="shared" si="78"/>
        <v>7230</v>
      </c>
      <c r="M118" s="84">
        <f t="shared" si="79"/>
        <v>0.08689590519572611</v>
      </c>
      <c r="N118" s="195">
        <f>J118*(F115/100)+K118</f>
        <v>914.4399999999999</v>
      </c>
      <c r="O118" s="129">
        <f t="shared" si="76"/>
        <v>1280</v>
      </c>
      <c r="P118" s="82">
        <f t="shared" si="77"/>
        <v>-365.56000000000006</v>
      </c>
      <c r="Q118" s="198">
        <f t="shared" si="80"/>
        <v>-0.28559375000000004</v>
      </c>
    </row>
    <row r="119" spans="1:17" ht="12.75" hidden="1" outlineLevel="1">
      <c r="A119" s="18" t="s">
        <v>52</v>
      </c>
      <c r="B119" s="38">
        <f t="shared" si="75"/>
        <v>743</v>
      </c>
      <c r="C119" s="59">
        <f t="shared" si="71"/>
        <v>0.6400000000000041</v>
      </c>
      <c r="E119" s="22">
        <v>30</v>
      </c>
      <c r="H119" s="38">
        <f t="shared" si="72"/>
        <v>34</v>
      </c>
      <c r="J119" s="38">
        <f t="shared" si="73"/>
        <v>777</v>
      </c>
      <c r="K119" s="35">
        <f t="shared" si="74"/>
        <v>0.0400000000000027</v>
      </c>
      <c r="L119" s="44">
        <f t="shared" si="78"/>
        <v>5319</v>
      </c>
      <c r="M119" s="84">
        <f t="shared" si="79"/>
        <v>0.0639279833659844</v>
      </c>
      <c r="N119" s="195">
        <f>J119*(F115/100)+K119</f>
        <v>699.34</v>
      </c>
      <c r="O119" s="129">
        <f t="shared" si="76"/>
        <v>1040</v>
      </c>
      <c r="P119" s="82">
        <f t="shared" si="77"/>
        <v>-340.65999999999997</v>
      </c>
      <c r="Q119" s="198">
        <f t="shared" si="80"/>
        <v>-0.32755769230769227</v>
      </c>
    </row>
    <row r="120" spans="1:17" ht="12.75" hidden="1" outlineLevel="1">
      <c r="A120" s="18" t="s">
        <v>56</v>
      </c>
      <c r="B120" s="38">
        <f t="shared" si="75"/>
        <v>768</v>
      </c>
      <c r="C120" s="59">
        <f t="shared" si="71"/>
        <v>0.04999999999999716</v>
      </c>
      <c r="E120" s="22">
        <v>30</v>
      </c>
      <c r="H120" s="38">
        <f t="shared" si="72"/>
        <v>33</v>
      </c>
      <c r="J120" s="38">
        <f t="shared" si="73"/>
        <v>801</v>
      </c>
      <c r="K120" s="35">
        <f t="shared" si="74"/>
        <v>0.34999999999999787</v>
      </c>
      <c r="L120" s="44">
        <f t="shared" si="78"/>
        <v>5511</v>
      </c>
      <c r="M120" s="84">
        <f t="shared" si="79"/>
        <v>0.0662355924666178</v>
      </c>
      <c r="N120" s="195">
        <f>J120*(F115/100)+K120</f>
        <v>721.25</v>
      </c>
      <c r="O120" s="129">
        <f t="shared" si="76"/>
        <v>1070.27</v>
      </c>
      <c r="P120" s="82">
        <f t="shared" si="77"/>
        <v>-349.02</v>
      </c>
      <c r="Q120" s="198">
        <f t="shared" si="80"/>
        <v>-0.3261046278041989</v>
      </c>
    </row>
    <row r="121" spans="1:17" ht="12.75" hidden="1" outlineLevel="1">
      <c r="A121" s="19" t="s">
        <v>6</v>
      </c>
      <c r="B121" s="38">
        <f t="shared" si="75"/>
        <v>982</v>
      </c>
      <c r="C121" s="59">
        <f t="shared" si="71"/>
        <v>0.6400000000000006</v>
      </c>
      <c r="E121" s="22">
        <v>30</v>
      </c>
      <c r="H121" s="38">
        <f t="shared" si="72"/>
        <v>34</v>
      </c>
      <c r="J121" s="38">
        <f t="shared" si="73"/>
        <v>1016</v>
      </c>
      <c r="K121" s="35">
        <f t="shared" si="74"/>
        <v>0.03999999999999915</v>
      </c>
      <c r="L121" s="44">
        <f t="shared" si="78"/>
        <v>7230</v>
      </c>
      <c r="M121" s="84">
        <f t="shared" si="79"/>
        <v>0.08689590519572611</v>
      </c>
      <c r="N121" s="195">
        <f>J121*(F115/100)+K121</f>
        <v>914.4399999999999</v>
      </c>
      <c r="O121" s="129">
        <f t="shared" si="76"/>
        <v>1280</v>
      </c>
      <c r="P121" s="82">
        <f t="shared" si="77"/>
        <v>-365.56000000000006</v>
      </c>
      <c r="Q121" s="198">
        <f t="shared" si="80"/>
        <v>-0.28559375000000004</v>
      </c>
    </row>
    <row r="122" spans="1:17" ht="12.75" hidden="1" outlineLevel="1">
      <c r="A122" s="19" t="s">
        <v>50</v>
      </c>
      <c r="B122" s="38">
        <f t="shared" si="75"/>
        <v>743</v>
      </c>
      <c r="C122" s="59">
        <f t="shared" si="71"/>
        <v>0.6400000000000041</v>
      </c>
      <c r="E122" s="22">
        <v>30</v>
      </c>
      <c r="H122" s="38">
        <f t="shared" si="72"/>
        <v>34</v>
      </c>
      <c r="J122" s="38">
        <f t="shared" si="73"/>
        <v>777</v>
      </c>
      <c r="K122" s="35">
        <f t="shared" si="74"/>
        <v>0.0400000000000027</v>
      </c>
      <c r="L122" s="44">
        <f t="shared" si="78"/>
        <v>5319</v>
      </c>
      <c r="M122" s="84">
        <f t="shared" si="79"/>
        <v>0.0639279833659844</v>
      </c>
      <c r="N122" s="195">
        <f>J122*(F115/100)+K122</f>
        <v>699.34</v>
      </c>
      <c r="O122" s="129">
        <f t="shared" si="76"/>
        <v>1040</v>
      </c>
      <c r="P122" s="82">
        <f t="shared" si="77"/>
        <v>-340.65999999999997</v>
      </c>
      <c r="Q122" s="198">
        <f t="shared" si="80"/>
        <v>-0.32755769230769227</v>
      </c>
    </row>
    <row r="123" spans="1:17" ht="12.75" hidden="1" outlineLevel="1">
      <c r="A123" s="19" t="s">
        <v>10</v>
      </c>
      <c r="B123" s="38">
        <f t="shared" si="75"/>
        <v>982</v>
      </c>
      <c r="C123" s="59">
        <f t="shared" si="71"/>
        <v>0.7900000000000027</v>
      </c>
      <c r="E123" s="22">
        <v>30</v>
      </c>
      <c r="H123" s="38">
        <f t="shared" si="72"/>
        <v>34</v>
      </c>
      <c r="J123" s="38">
        <f t="shared" si="73"/>
        <v>1016</v>
      </c>
      <c r="K123" s="35">
        <f t="shared" si="74"/>
        <v>0.19000000000000128</v>
      </c>
      <c r="L123" s="44">
        <f t="shared" si="78"/>
        <v>7231</v>
      </c>
      <c r="M123" s="84">
        <f t="shared" si="79"/>
        <v>0.08690792399312525</v>
      </c>
      <c r="N123" s="195">
        <f>J123*(F115/100)+K123</f>
        <v>914.59</v>
      </c>
      <c r="O123" s="129">
        <f t="shared" si="76"/>
        <v>1280.28</v>
      </c>
      <c r="P123" s="82">
        <f t="shared" si="77"/>
        <v>-365.68999999999994</v>
      </c>
      <c r="Q123" s="198">
        <f t="shared" si="80"/>
        <v>-0.28563283031836784</v>
      </c>
    </row>
    <row r="124" spans="1:17" ht="12.75" hidden="1" outlineLevel="1">
      <c r="A124" s="19" t="s">
        <v>105</v>
      </c>
      <c r="B124" s="38">
        <f t="shared" si="75"/>
        <v>0</v>
      </c>
      <c r="C124" s="59">
        <f t="shared" si="71"/>
        <v>0</v>
      </c>
      <c r="E124" s="22">
        <v>0</v>
      </c>
      <c r="H124" s="38">
        <f t="shared" si="72"/>
        <v>0</v>
      </c>
      <c r="J124" s="38">
        <f>B124+H124-I124</f>
        <v>0</v>
      </c>
      <c r="K124" s="35">
        <f t="shared" si="74"/>
        <v>0</v>
      </c>
      <c r="L124" s="44">
        <f t="shared" si="78"/>
        <v>1956</v>
      </c>
      <c r="M124" s="84">
        <f t="shared" si="79"/>
        <v>0.023508767712702668</v>
      </c>
      <c r="N124" s="195"/>
      <c r="O124" s="129"/>
      <c r="P124" s="82"/>
      <c r="Q124" s="198"/>
    </row>
    <row r="125" spans="1:17" ht="12.75" hidden="1" outlineLevel="1">
      <c r="A125" s="19" t="s">
        <v>9</v>
      </c>
      <c r="B125" s="38">
        <f t="shared" si="75"/>
        <v>982</v>
      </c>
      <c r="C125" s="59">
        <f t="shared" si="71"/>
        <v>0.6400000000000006</v>
      </c>
      <c r="E125" s="22">
        <v>30</v>
      </c>
      <c r="H125" s="38">
        <f t="shared" si="72"/>
        <v>34</v>
      </c>
      <c r="J125" s="38">
        <f>B125+H125</f>
        <v>1016</v>
      </c>
      <c r="K125" s="35">
        <f t="shared" si="74"/>
        <v>0.03999999999999915</v>
      </c>
      <c r="L125" s="44">
        <f t="shared" si="78"/>
        <v>7230</v>
      </c>
      <c r="M125" s="84">
        <f t="shared" si="79"/>
        <v>0.08689590519572611</v>
      </c>
      <c r="N125" s="195">
        <f>J125*(F115/100)+K125</f>
        <v>914.4399999999999</v>
      </c>
      <c r="O125" s="129">
        <f t="shared" si="76"/>
        <v>1280</v>
      </c>
      <c r="P125" s="82">
        <f t="shared" si="77"/>
        <v>-365.56000000000006</v>
      </c>
      <c r="Q125" s="198">
        <f t="shared" si="80"/>
        <v>-0.28559375000000004</v>
      </c>
    </row>
    <row r="126" spans="1:17" ht="12.75" hidden="1" outlineLevel="1">
      <c r="A126" s="19" t="s">
        <v>49</v>
      </c>
      <c r="B126" s="38">
        <f>J110</f>
        <v>767</v>
      </c>
      <c r="C126" s="59">
        <f t="shared" si="71"/>
        <v>0.710000000000008</v>
      </c>
      <c r="E126" s="22">
        <v>30</v>
      </c>
      <c r="H126" s="38">
        <f t="shared" si="72"/>
        <v>34</v>
      </c>
      <c r="J126" s="38">
        <f>B126+H126</f>
        <v>801</v>
      </c>
      <c r="K126" s="35">
        <f t="shared" si="74"/>
        <v>0.11000000000000654</v>
      </c>
      <c r="L126" s="44">
        <f t="shared" si="78"/>
        <v>5470</v>
      </c>
      <c r="M126" s="84">
        <f t="shared" si="79"/>
        <v>0.06574282177325337</v>
      </c>
      <c r="N126" s="195">
        <f>J126*(F115/100)+K126</f>
        <v>721.01</v>
      </c>
      <c r="O126" s="129">
        <f t="shared" si="76"/>
        <v>1070</v>
      </c>
      <c r="P126" s="82">
        <f t="shared" si="77"/>
        <v>-348.99</v>
      </c>
      <c r="Q126" s="198">
        <f>P126/O126</f>
        <v>-0.3261588785046729</v>
      </c>
    </row>
    <row r="127" spans="1:17" ht="12.75" hidden="1" outlineLevel="1">
      <c r="A127" s="19" t="s">
        <v>53</v>
      </c>
      <c r="B127" s="38">
        <f>J111</f>
        <v>0</v>
      </c>
      <c r="C127" s="59">
        <f t="shared" si="71"/>
        <v>0</v>
      </c>
      <c r="E127" s="22">
        <v>0</v>
      </c>
      <c r="H127" s="38">
        <f t="shared" si="72"/>
        <v>0</v>
      </c>
      <c r="J127" s="38">
        <f>B127+H127</f>
        <v>0</v>
      </c>
      <c r="K127" s="35">
        <f t="shared" si="74"/>
        <v>0</v>
      </c>
      <c r="L127" s="44">
        <f t="shared" si="78"/>
        <v>3695</v>
      </c>
      <c r="M127" s="84">
        <f>L127/L$129</f>
        <v>0.044409456389793635</v>
      </c>
      <c r="N127" s="195"/>
      <c r="O127" s="129"/>
      <c r="P127" s="82"/>
      <c r="Q127" s="198"/>
    </row>
    <row r="128" spans="1:17" ht="12.75" hidden="1" outlineLevel="1">
      <c r="A128" s="19" t="s">
        <v>8</v>
      </c>
      <c r="B128" s="38">
        <f>J112</f>
        <v>982</v>
      </c>
      <c r="C128" s="59">
        <f t="shared" si="71"/>
        <v>0.6400000000000006</v>
      </c>
      <c r="E128" s="22">
        <v>30</v>
      </c>
      <c r="H128" s="38">
        <f t="shared" si="72"/>
        <v>34</v>
      </c>
      <c r="J128" s="38">
        <f>B128+H128</f>
        <v>1016</v>
      </c>
      <c r="K128" s="35">
        <f t="shared" si="74"/>
        <v>0.03999999999999915</v>
      </c>
      <c r="L128" s="44">
        <f t="shared" si="78"/>
        <v>7230</v>
      </c>
      <c r="M128" s="84">
        <f>L128/L$129</f>
        <v>0.08689590519572611</v>
      </c>
      <c r="N128" s="195">
        <f>J128*(F115/100)+K128</f>
        <v>914.4399999999999</v>
      </c>
      <c r="O128" s="129">
        <f t="shared" si="76"/>
        <v>1280</v>
      </c>
      <c r="P128" s="82">
        <f t="shared" si="77"/>
        <v>-365.56000000000006</v>
      </c>
      <c r="Q128" s="198">
        <f>P128/O128</f>
        <v>-0.28559375000000004</v>
      </c>
    </row>
    <row r="129" spans="5:17" ht="12.75" collapsed="1">
      <c r="E129" s="22">
        <f>SUM(E115:E128)</f>
        <v>360</v>
      </c>
      <c r="J129" s="69">
        <f>SUM(J115:J128)</f>
        <v>11045</v>
      </c>
      <c r="K129" s="35">
        <f>SUM(K115:K128)</f>
        <v>1.5100000000000122</v>
      </c>
      <c r="L129" s="70">
        <f>SUM(L115:L128)</f>
        <v>83203</v>
      </c>
      <c r="M129" s="84">
        <f>SUM(M115:M128)</f>
        <v>1.0000000000000002</v>
      </c>
      <c r="P129" s="243"/>
      <c r="Q129" s="199"/>
    </row>
    <row r="130" spans="1:17" ht="12.75">
      <c r="A130" s="36">
        <v>37591</v>
      </c>
      <c r="C130" s="59"/>
      <c r="P130" s="243"/>
      <c r="Q130" s="199"/>
    </row>
    <row r="131" spans="1:17" ht="12.75" hidden="1" outlineLevel="1">
      <c r="A131" s="19" t="s">
        <v>5</v>
      </c>
      <c r="B131" s="38">
        <f>J115</f>
        <v>1016</v>
      </c>
      <c r="C131" s="59">
        <f>K115</f>
        <v>0.03999999999999915</v>
      </c>
      <c r="E131" s="22">
        <v>30</v>
      </c>
      <c r="F131" s="31">
        <f>Assets!I222</f>
        <v>91</v>
      </c>
      <c r="H131" s="38">
        <f>INT(100*(C131+E131)/F$131)</f>
        <v>33</v>
      </c>
      <c r="J131" s="38">
        <f>B131+H131</f>
        <v>1049</v>
      </c>
      <c r="K131" s="35">
        <f>(E131+C131)-ROUND(H131*F$131/100,2)</f>
        <v>0.00999999999999801</v>
      </c>
      <c r="L131" s="44">
        <f>L115+J131</f>
        <v>8279</v>
      </c>
      <c r="M131" s="84">
        <f>L131/L$145</f>
        <v>0.08747517011115337</v>
      </c>
      <c r="N131" s="195">
        <f>J131*(F131/100)+K131</f>
        <v>954.6</v>
      </c>
      <c r="O131" s="129">
        <f>O115+E131</f>
        <v>1310</v>
      </c>
      <c r="P131" s="82">
        <f>N131-O131</f>
        <v>-355.4</v>
      </c>
      <c r="Q131" s="198">
        <f>P131/O131</f>
        <v>-0.2712977099236641</v>
      </c>
    </row>
    <row r="132" spans="1:17" ht="12.75" hidden="1" outlineLevel="1">
      <c r="A132" s="19" t="s">
        <v>54</v>
      </c>
      <c r="B132" s="38">
        <f aca="true" t="shared" si="81" ref="B132:B141">J116</f>
        <v>777</v>
      </c>
      <c r="C132" s="59">
        <f aca="true" t="shared" si="82" ref="C132:C144">K116</f>
        <v>0.5400000000000063</v>
      </c>
      <c r="E132" s="22">
        <v>30</v>
      </c>
      <c r="H132" s="38">
        <f aca="true" t="shared" si="83" ref="H132:H144">INT(100*(C132+E132)/F$131)</f>
        <v>33</v>
      </c>
      <c r="J132" s="38">
        <f aca="true" t="shared" si="84" ref="J132:J139">B132+H132</f>
        <v>810</v>
      </c>
      <c r="K132" s="35">
        <f>(E132+C132)-ROUND(H132*F$131/100,2)</f>
        <v>0.5100000000000051</v>
      </c>
      <c r="L132" s="44">
        <f aca="true" t="shared" si="85" ref="L132:L144">L116+J132</f>
        <v>6132</v>
      </c>
      <c r="M132" s="84">
        <f aca="true" t="shared" si="86" ref="M132:M144">L132/L$145</f>
        <v>0.06479016102447065</v>
      </c>
      <c r="N132" s="195">
        <f>J132*(F131/100)+K132</f>
        <v>737.61</v>
      </c>
      <c r="O132" s="129">
        <f aca="true" t="shared" si="87" ref="O132:O144">O116+E132</f>
        <v>1070</v>
      </c>
      <c r="P132" s="82">
        <f aca="true" t="shared" si="88" ref="P132:P144">N132-O132</f>
        <v>-332.39</v>
      </c>
      <c r="Q132" s="198">
        <f>P132/O132</f>
        <v>-0.3106448598130841</v>
      </c>
    </row>
    <row r="133" spans="1:17" ht="12.75" hidden="1" outlineLevel="1">
      <c r="A133" s="19" t="s">
        <v>11</v>
      </c>
      <c r="B133" s="38">
        <f t="shared" si="81"/>
        <v>1016</v>
      </c>
      <c r="C133" s="59">
        <f t="shared" si="82"/>
        <v>0.03999999999999915</v>
      </c>
      <c r="E133" s="22">
        <v>30</v>
      </c>
      <c r="H133" s="38">
        <f t="shared" si="83"/>
        <v>33</v>
      </c>
      <c r="J133" s="38">
        <f t="shared" si="84"/>
        <v>1049</v>
      </c>
      <c r="K133" s="35">
        <f aca="true" t="shared" si="89" ref="K133:K144">(E133+C133)-ROUND(H133*F$131/100,2)</f>
        <v>0.00999999999999801</v>
      </c>
      <c r="L133" s="44">
        <f t="shared" si="85"/>
        <v>8279</v>
      </c>
      <c r="M133" s="84">
        <f t="shared" si="86"/>
        <v>0.08747517011115337</v>
      </c>
      <c r="N133" s="195">
        <f>J133*(F131/100)+K133</f>
        <v>954.6</v>
      </c>
      <c r="O133" s="129">
        <f t="shared" si="87"/>
        <v>1310</v>
      </c>
      <c r="P133" s="82">
        <f t="shared" si="88"/>
        <v>-355.4</v>
      </c>
      <c r="Q133" s="198">
        <f aca="true" t="shared" si="90" ref="Q133:Q141">P133/O133</f>
        <v>-0.2712977099236641</v>
      </c>
    </row>
    <row r="134" spans="1:17" ht="12.75" hidden="1" outlineLevel="1">
      <c r="A134" s="18" t="s">
        <v>7</v>
      </c>
      <c r="B134" s="38">
        <f t="shared" si="81"/>
        <v>1016</v>
      </c>
      <c r="C134" s="59">
        <f t="shared" si="82"/>
        <v>0.03999999999999915</v>
      </c>
      <c r="E134" s="22">
        <v>30</v>
      </c>
      <c r="H134" s="38">
        <f t="shared" si="83"/>
        <v>33</v>
      </c>
      <c r="J134" s="38">
        <f t="shared" si="84"/>
        <v>1049</v>
      </c>
      <c r="K134" s="35">
        <f t="shared" si="89"/>
        <v>0.00999999999999801</v>
      </c>
      <c r="L134" s="44">
        <f t="shared" si="85"/>
        <v>8279</v>
      </c>
      <c r="M134" s="84">
        <f t="shared" si="86"/>
        <v>0.08747517011115337</v>
      </c>
      <c r="N134" s="195">
        <f>J134*(F131/100)+K134</f>
        <v>954.6</v>
      </c>
      <c r="O134" s="129">
        <f t="shared" si="87"/>
        <v>1310</v>
      </c>
      <c r="P134" s="82">
        <f t="shared" si="88"/>
        <v>-355.4</v>
      </c>
      <c r="Q134" s="198">
        <f t="shared" si="90"/>
        <v>-0.2712977099236641</v>
      </c>
    </row>
    <row r="135" spans="1:17" ht="12.75" hidden="1" outlineLevel="1">
      <c r="A135" s="18" t="s">
        <v>52</v>
      </c>
      <c r="B135" s="38">
        <f t="shared" si="81"/>
        <v>777</v>
      </c>
      <c r="C135" s="59">
        <f t="shared" si="82"/>
        <v>0.0400000000000027</v>
      </c>
      <c r="E135" s="22">
        <v>30</v>
      </c>
      <c r="H135" s="38">
        <f t="shared" si="83"/>
        <v>33</v>
      </c>
      <c r="J135" s="38">
        <f t="shared" si="84"/>
        <v>810</v>
      </c>
      <c r="K135" s="35">
        <f t="shared" si="89"/>
        <v>0.010000000000001563</v>
      </c>
      <c r="L135" s="44">
        <f t="shared" si="85"/>
        <v>6129</v>
      </c>
      <c r="M135" s="84">
        <f t="shared" si="86"/>
        <v>0.06475846329402815</v>
      </c>
      <c r="N135" s="195">
        <f>J135*(F131/100)+K135</f>
        <v>737.11</v>
      </c>
      <c r="O135" s="129">
        <f t="shared" si="87"/>
        <v>1070</v>
      </c>
      <c r="P135" s="82">
        <f t="shared" si="88"/>
        <v>-332.89</v>
      </c>
      <c r="Q135" s="198">
        <f t="shared" si="90"/>
        <v>-0.31111214953271027</v>
      </c>
    </row>
    <row r="136" spans="1:17" ht="12.75" hidden="1" outlineLevel="1">
      <c r="A136" s="18" t="s">
        <v>56</v>
      </c>
      <c r="B136" s="38">
        <f t="shared" si="81"/>
        <v>801</v>
      </c>
      <c r="C136" s="59">
        <f t="shared" si="82"/>
        <v>0.34999999999999787</v>
      </c>
      <c r="E136" s="22">
        <v>30.27</v>
      </c>
      <c r="H136" s="38">
        <f t="shared" si="83"/>
        <v>33</v>
      </c>
      <c r="J136" s="38">
        <f t="shared" si="84"/>
        <v>834</v>
      </c>
      <c r="K136" s="35">
        <f t="shared" si="89"/>
        <v>0.5899999999999963</v>
      </c>
      <c r="L136" s="44">
        <f t="shared" si="85"/>
        <v>6345</v>
      </c>
      <c r="M136" s="84">
        <f t="shared" si="86"/>
        <v>0.06704069988588816</v>
      </c>
      <c r="N136" s="195">
        <f>J136*(F131/100)+K136</f>
        <v>759.5300000000001</v>
      </c>
      <c r="O136" s="129">
        <f t="shared" si="87"/>
        <v>1100.54</v>
      </c>
      <c r="P136" s="82">
        <f t="shared" si="88"/>
        <v>-341.0099999999999</v>
      </c>
      <c r="Q136" s="198">
        <f t="shared" si="90"/>
        <v>-0.30985697930107026</v>
      </c>
    </row>
    <row r="137" spans="1:17" ht="12.75" hidden="1" outlineLevel="1">
      <c r="A137" s="19" t="s">
        <v>6</v>
      </c>
      <c r="B137" s="38">
        <f t="shared" si="81"/>
        <v>1016</v>
      </c>
      <c r="C137" s="59">
        <f t="shared" si="82"/>
        <v>0.03999999999999915</v>
      </c>
      <c r="E137" s="22">
        <v>30</v>
      </c>
      <c r="H137" s="38">
        <f t="shared" si="83"/>
        <v>33</v>
      </c>
      <c r="J137" s="38">
        <f t="shared" si="84"/>
        <v>1049</v>
      </c>
      <c r="K137" s="35">
        <f t="shared" si="89"/>
        <v>0.00999999999999801</v>
      </c>
      <c r="L137" s="44">
        <f t="shared" si="85"/>
        <v>8279</v>
      </c>
      <c r="M137" s="84">
        <f t="shared" si="86"/>
        <v>0.08747517011115337</v>
      </c>
      <c r="N137" s="195">
        <f>J137*(F131/100)+K137</f>
        <v>954.6</v>
      </c>
      <c r="O137" s="129">
        <f t="shared" si="87"/>
        <v>1310</v>
      </c>
      <c r="P137" s="82">
        <f t="shared" si="88"/>
        <v>-355.4</v>
      </c>
      <c r="Q137" s="198">
        <f t="shared" si="90"/>
        <v>-0.2712977099236641</v>
      </c>
    </row>
    <row r="138" spans="1:17" ht="12.75" hidden="1" outlineLevel="1">
      <c r="A138" s="19" t="s">
        <v>50</v>
      </c>
      <c r="B138" s="38">
        <f t="shared" si="81"/>
        <v>777</v>
      </c>
      <c r="C138" s="59">
        <f t="shared" si="82"/>
        <v>0.0400000000000027</v>
      </c>
      <c r="E138" s="22">
        <v>30</v>
      </c>
      <c r="H138" s="38">
        <f t="shared" si="83"/>
        <v>33</v>
      </c>
      <c r="J138" s="38">
        <f t="shared" si="84"/>
        <v>810</v>
      </c>
      <c r="K138" s="35">
        <f t="shared" si="89"/>
        <v>0.010000000000001563</v>
      </c>
      <c r="L138" s="44">
        <f t="shared" si="85"/>
        <v>6129</v>
      </c>
      <c r="M138" s="84">
        <f t="shared" si="86"/>
        <v>0.06475846329402815</v>
      </c>
      <c r="N138" s="195">
        <f>J138*(F131/100)+K138</f>
        <v>737.11</v>
      </c>
      <c r="O138" s="129">
        <f t="shared" si="87"/>
        <v>1070</v>
      </c>
      <c r="P138" s="82">
        <f t="shared" si="88"/>
        <v>-332.89</v>
      </c>
      <c r="Q138" s="198">
        <f t="shared" si="90"/>
        <v>-0.31111214953271027</v>
      </c>
    </row>
    <row r="139" spans="1:17" ht="12.75" hidden="1" outlineLevel="1">
      <c r="A139" s="19" t="s">
        <v>10</v>
      </c>
      <c r="B139" s="38">
        <f t="shared" si="81"/>
        <v>1016</v>
      </c>
      <c r="C139" s="59">
        <f t="shared" si="82"/>
        <v>0.19000000000000128</v>
      </c>
      <c r="E139" s="22">
        <v>30</v>
      </c>
      <c r="H139" s="38">
        <f t="shared" si="83"/>
        <v>33</v>
      </c>
      <c r="J139" s="38">
        <f t="shared" si="84"/>
        <v>1049</v>
      </c>
      <c r="K139" s="35">
        <f t="shared" si="89"/>
        <v>0.16000000000000014</v>
      </c>
      <c r="L139" s="44">
        <f t="shared" si="85"/>
        <v>8280</v>
      </c>
      <c r="M139" s="84">
        <f t="shared" si="86"/>
        <v>0.08748573602130087</v>
      </c>
      <c r="N139" s="195">
        <f>J139*(F131/100)+K139</f>
        <v>954.75</v>
      </c>
      <c r="O139" s="129">
        <f t="shared" si="87"/>
        <v>1310.28</v>
      </c>
      <c r="P139" s="82">
        <f t="shared" si="88"/>
        <v>-355.53</v>
      </c>
      <c r="Q139" s="198">
        <f t="shared" si="90"/>
        <v>-0.2713389504533382</v>
      </c>
    </row>
    <row r="140" spans="1:17" ht="12.75" hidden="1" outlineLevel="1">
      <c r="A140" s="19" t="s">
        <v>105</v>
      </c>
      <c r="B140" s="38">
        <f t="shared" si="81"/>
        <v>0</v>
      </c>
      <c r="C140" s="59">
        <f t="shared" si="82"/>
        <v>0</v>
      </c>
      <c r="E140" s="22">
        <v>0</v>
      </c>
      <c r="H140" s="38">
        <f t="shared" si="83"/>
        <v>0</v>
      </c>
      <c r="J140" s="38">
        <f>B140+H140-I140</f>
        <v>0</v>
      </c>
      <c r="K140" s="35">
        <f t="shared" si="89"/>
        <v>0</v>
      </c>
      <c r="L140" s="44">
        <f t="shared" si="85"/>
        <v>1956</v>
      </c>
      <c r="M140" s="84">
        <f t="shared" si="86"/>
        <v>0.020666920248510207</v>
      </c>
      <c r="N140" s="195"/>
      <c r="O140" s="129"/>
      <c r="P140" s="82"/>
      <c r="Q140" s="198"/>
    </row>
    <row r="141" spans="1:17" ht="12.75" hidden="1" outlineLevel="1">
      <c r="A141" s="19" t="s">
        <v>9</v>
      </c>
      <c r="B141" s="38">
        <f t="shared" si="81"/>
        <v>1016</v>
      </c>
      <c r="C141" s="59">
        <f t="shared" si="82"/>
        <v>0.03999999999999915</v>
      </c>
      <c r="E141" s="22">
        <v>30</v>
      </c>
      <c r="H141" s="38">
        <f t="shared" si="83"/>
        <v>33</v>
      </c>
      <c r="J141" s="38">
        <f>B141+H141</f>
        <v>1049</v>
      </c>
      <c r="K141" s="35">
        <f t="shared" si="89"/>
        <v>0.00999999999999801</v>
      </c>
      <c r="L141" s="44">
        <f t="shared" si="85"/>
        <v>8279</v>
      </c>
      <c r="M141" s="84">
        <f t="shared" si="86"/>
        <v>0.08747517011115337</v>
      </c>
      <c r="N141" s="195">
        <f>J141*(F131/100)+K141</f>
        <v>954.6</v>
      </c>
      <c r="O141" s="129">
        <f t="shared" si="87"/>
        <v>1310</v>
      </c>
      <c r="P141" s="82">
        <f t="shared" si="88"/>
        <v>-355.4</v>
      </c>
      <c r="Q141" s="198">
        <f t="shared" si="90"/>
        <v>-0.2712977099236641</v>
      </c>
    </row>
    <row r="142" spans="1:17" ht="12.75" hidden="1" outlineLevel="1">
      <c r="A142" s="19" t="s">
        <v>49</v>
      </c>
      <c r="B142" s="38">
        <f>J126</f>
        <v>801</v>
      </c>
      <c r="C142" s="59">
        <f t="shared" si="82"/>
        <v>0.11000000000000654</v>
      </c>
      <c r="E142" s="22">
        <v>30</v>
      </c>
      <c r="H142" s="38">
        <f t="shared" si="83"/>
        <v>33</v>
      </c>
      <c r="J142" s="38">
        <f>B142+H142</f>
        <v>834</v>
      </c>
      <c r="K142" s="35">
        <f t="shared" si="89"/>
        <v>0.0800000000000054</v>
      </c>
      <c r="L142" s="44">
        <f t="shared" si="85"/>
        <v>6304</v>
      </c>
      <c r="M142" s="84">
        <f t="shared" si="86"/>
        <v>0.06660749756984066</v>
      </c>
      <c r="N142" s="195">
        <f>J142*(F131/100)+K142</f>
        <v>759.0200000000001</v>
      </c>
      <c r="O142" s="129">
        <f t="shared" si="87"/>
        <v>1100</v>
      </c>
      <c r="P142" s="82">
        <f t="shared" si="88"/>
        <v>-340.9799999999999</v>
      </c>
      <c r="Q142" s="198">
        <f>P142/O142</f>
        <v>-0.3099818181818181</v>
      </c>
    </row>
    <row r="143" spans="1:17" ht="12.75" hidden="1" outlineLevel="1">
      <c r="A143" s="19" t="s">
        <v>53</v>
      </c>
      <c r="B143" s="38">
        <f>J127</f>
        <v>0</v>
      </c>
      <c r="C143" s="59">
        <f t="shared" si="82"/>
        <v>0</v>
      </c>
      <c r="E143" s="22">
        <v>0</v>
      </c>
      <c r="H143" s="38">
        <f t="shared" si="83"/>
        <v>0</v>
      </c>
      <c r="J143" s="38">
        <f>B143+H143</f>
        <v>0</v>
      </c>
      <c r="K143" s="35">
        <f t="shared" si="89"/>
        <v>0</v>
      </c>
      <c r="L143" s="44">
        <f t="shared" si="85"/>
        <v>3695</v>
      </c>
      <c r="M143" s="84">
        <f t="shared" si="86"/>
        <v>0.03904103799501289</v>
      </c>
      <c r="N143" s="195"/>
      <c r="O143" s="129"/>
      <c r="P143" s="82"/>
      <c r="Q143" s="198"/>
    </row>
    <row r="144" spans="1:17" ht="12.75" hidden="1" outlineLevel="1">
      <c r="A144" s="19" t="s">
        <v>8</v>
      </c>
      <c r="B144" s="38">
        <f>J128</f>
        <v>1016</v>
      </c>
      <c r="C144" s="59">
        <f t="shared" si="82"/>
        <v>0.03999999999999915</v>
      </c>
      <c r="E144" s="22">
        <v>30</v>
      </c>
      <c r="H144" s="38">
        <f t="shared" si="83"/>
        <v>33</v>
      </c>
      <c r="J144" s="38">
        <f>B144+H144</f>
        <v>1049</v>
      </c>
      <c r="K144" s="35">
        <f t="shared" si="89"/>
        <v>0.00999999999999801</v>
      </c>
      <c r="L144" s="44">
        <f t="shared" si="85"/>
        <v>8279</v>
      </c>
      <c r="M144" s="84">
        <f t="shared" si="86"/>
        <v>0.08747517011115337</v>
      </c>
      <c r="N144" s="195">
        <f>J144*(F131/100)+K144</f>
        <v>954.6</v>
      </c>
      <c r="O144" s="129">
        <f t="shared" si="87"/>
        <v>1310</v>
      </c>
      <c r="P144" s="82">
        <f t="shared" si="88"/>
        <v>-355.4</v>
      </c>
      <c r="Q144" s="198">
        <f>P144/O144</f>
        <v>-0.2712977099236641</v>
      </c>
    </row>
    <row r="145" spans="5:17" ht="12.75" collapsed="1">
      <c r="E145" s="22">
        <f>SUM(E131:E144)</f>
        <v>360.27</v>
      </c>
      <c r="J145" s="69">
        <f>SUM(J131:J144)</f>
        <v>11441</v>
      </c>
      <c r="K145" s="35">
        <f>SUM(K131:K144)</f>
        <v>1.4199999999999982</v>
      </c>
      <c r="L145" s="70">
        <f>SUM(L131:L144)</f>
        <v>94644</v>
      </c>
      <c r="M145" s="84">
        <f>SUM(M131:M144)</f>
        <v>0.9999999999999999</v>
      </c>
      <c r="P145" s="243"/>
      <c r="Q145" s="199"/>
    </row>
    <row r="146" spans="1:17" ht="12.75">
      <c r="A146" s="36">
        <v>37622</v>
      </c>
      <c r="C146" s="59"/>
      <c r="P146" s="243"/>
      <c r="Q146" s="199"/>
    </row>
    <row r="147" spans="1:17" ht="12.75" hidden="1" outlineLevel="1">
      <c r="A147" s="19" t="s">
        <v>5</v>
      </c>
      <c r="B147" s="38">
        <f>J131</f>
        <v>1049</v>
      </c>
      <c r="C147" s="59">
        <f>K131</f>
        <v>0.00999999999999801</v>
      </c>
      <c r="E147" s="22">
        <v>30</v>
      </c>
      <c r="F147" s="31">
        <f>Assets!I251</f>
        <v>93</v>
      </c>
      <c r="H147" s="38">
        <f aca="true" t="shared" si="91" ref="H147:H160">INT(100*(C147+E147)/F$147)</f>
        <v>32</v>
      </c>
      <c r="J147" s="38">
        <f>B147+H147</f>
        <v>1081</v>
      </c>
      <c r="K147" s="35">
        <f aca="true" t="shared" si="92" ref="K147:K160">(E147+C147)-ROUND(H147*F$147/100,2)</f>
        <v>0.24999999999999645</v>
      </c>
      <c r="L147" s="44">
        <f aca="true" t="shared" si="93" ref="L147:L160">L131+J147</f>
        <v>9360</v>
      </c>
      <c r="M147" s="84">
        <f>L147/L$161</f>
        <v>0.08791291361804844</v>
      </c>
      <c r="N147" s="195">
        <f>J147*(F147/100)+K147</f>
        <v>1005.58</v>
      </c>
      <c r="O147" s="129">
        <f>O131+E147</f>
        <v>1340</v>
      </c>
      <c r="P147" s="82">
        <f>N147-O147</f>
        <v>-334.41999999999996</v>
      </c>
      <c r="Q147" s="198">
        <f>P147/O147</f>
        <v>-0.24956716417910443</v>
      </c>
    </row>
    <row r="148" spans="1:17" ht="12.75" hidden="1" outlineLevel="1">
      <c r="A148" s="19" t="s">
        <v>54</v>
      </c>
      <c r="B148" s="38">
        <f aca="true" t="shared" si="94" ref="B148:B157">J132</f>
        <v>810</v>
      </c>
      <c r="C148" s="59">
        <f aca="true" t="shared" si="95" ref="C148:C160">K132</f>
        <v>0.5100000000000051</v>
      </c>
      <c r="E148" s="22">
        <v>30</v>
      </c>
      <c r="H148" s="38">
        <f t="shared" si="91"/>
        <v>32</v>
      </c>
      <c r="J148" s="38">
        <f aca="true" t="shared" si="96" ref="J148:J155">B148+H148</f>
        <v>842</v>
      </c>
      <c r="K148" s="35">
        <f t="shared" si="92"/>
        <v>0.7500000000000036</v>
      </c>
      <c r="L148" s="44">
        <f t="shared" si="93"/>
        <v>6974</v>
      </c>
      <c r="M148" s="84">
        <f aca="true" t="shared" si="97" ref="M148:M160">L148/L$161</f>
        <v>0.06550263456968695</v>
      </c>
      <c r="N148" s="195">
        <f>J148*(F147/100)+K148</f>
        <v>783.8100000000001</v>
      </c>
      <c r="O148" s="129">
        <f aca="true" t="shared" si="98" ref="O148:O160">O132+E148</f>
        <v>1100</v>
      </c>
      <c r="P148" s="82">
        <f aca="true" t="shared" si="99" ref="P148:P160">N148-O148</f>
        <v>-316.18999999999994</v>
      </c>
      <c r="Q148" s="198">
        <f>P148/O148</f>
        <v>-0.2874454545454545</v>
      </c>
    </row>
    <row r="149" spans="1:17" ht="12.75" hidden="1" outlineLevel="1">
      <c r="A149" s="19" t="s">
        <v>11</v>
      </c>
      <c r="B149" s="38">
        <f t="shared" si="94"/>
        <v>1049</v>
      </c>
      <c r="C149" s="59">
        <f t="shared" si="95"/>
        <v>0.00999999999999801</v>
      </c>
      <c r="E149" s="22">
        <v>30</v>
      </c>
      <c r="H149" s="38">
        <f t="shared" si="91"/>
        <v>32</v>
      </c>
      <c r="J149" s="38">
        <f t="shared" si="96"/>
        <v>1081</v>
      </c>
      <c r="K149" s="35">
        <f t="shared" si="92"/>
        <v>0.24999999999999645</v>
      </c>
      <c r="L149" s="44">
        <f t="shared" si="93"/>
        <v>9360</v>
      </c>
      <c r="M149" s="84">
        <f t="shared" si="97"/>
        <v>0.08791291361804844</v>
      </c>
      <c r="N149" s="195">
        <f>J149*(F147/100)+K149</f>
        <v>1005.58</v>
      </c>
      <c r="O149" s="129">
        <f t="shared" si="98"/>
        <v>1340</v>
      </c>
      <c r="P149" s="82">
        <f t="shared" si="99"/>
        <v>-334.41999999999996</v>
      </c>
      <c r="Q149" s="198">
        <f aca="true" t="shared" si="100" ref="Q149:Q157">P149/O149</f>
        <v>-0.24956716417910443</v>
      </c>
    </row>
    <row r="150" spans="1:17" ht="12.75" hidden="1" outlineLevel="1">
      <c r="A150" s="18" t="s">
        <v>7</v>
      </c>
      <c r="B150" s="38">
        <f t="shared" si="94"/>
        <v>1049</v>
      </c>
      <c r="C150" s="59">
        <f t="shared" si="95"/>
        <v>0.00999999999999801</v>
      </c>
      <c r="E150" s="22">
        <v>30</v>
      </c>
      <c r="H150" s="38">
        <f t="shared" si="91"/>
        <v>32</v>
      </c>
      <c r="J150" s="38">
        <f t="shared" si="96"/>
        <v>1081</v>
      </c>
      <c r="K150" s="35">
        <f t="shared" si="92"/>
        <v>0.24999999999999645</v>
      </c>
      <c r="L150" s="44">
        <f t="shared" si="93"/>
        <v>9360</v>
      </c>
      <c r="M150" s="84">
        <f t="shared" si="97"/>
        <v>0.08791291361804844</v>
      </c>
      <c r="N150" s="195">
        <f>J150*(F147/100)+K150</f>
        <v>1005.58</v>
      </c>
      <c r="O150" s="129">
        <f t="shared" si="98"/>
        <v>1340</v>
      </c>
      <c r="P150" s="82">
        <f t="shared" si="99"/>
        <v>-334.41999999999996</v>
      </c>
      <c r="Q150" s="198">
        <f t="shared" si="100"/>
        <v>-0.24956716417910443</v>
      </c>
    </row>
    <row r="151" spans="1:17" ht="12.75" hidden="1" outlineLevel="1">
      <c r="A151" s="18" t="s">
        <v>52</v>
      </c>
      <c r="B151" s="38">
        <f t="shared" si="94"/>
        <v>810</v>
      </c>
      <c r="C151" s="59">
        <f t="shared" si="95"/>
        <v>0.010000000000001563</v>
      </c>
      <c r="E151" s="22">
        <v>30</v>
      </c>
      <c r="H151" s="38">
        <f t="shared" si="91"/>
        <v>32</v>
      </c>
      <c r="J151" s="38">
        <f t="shared" si="96"/>
        <v>842</v>
      </c>
      <c r="K151" s="35">
        <f t="shared" si="92"/>
        <v>0.25</v>
      </c>
      <c r="L151" s="44">
        <f t="shared" si="93"/>
        <v>6971</v>
      </c>
      <c r="M151" s="84">
        <f t="shared" si="97"/>
        <v>0.06547445735378372</v>
      </c>
      <c r="N151" s="195">
        <f>J151*(F147/100)+K151</f>
        <v>783.3100000000001</v>
      </c>
      <c r="O151" s="129">
        <f t="shared" si="98"/>
        <v>1100</v>
      </c>
      <c r="P151" s="82">
        <f t="shared" si="99"/>
        <v>-316.68999999999994</v>
      </c>
      <c r="Q151" s="198">
        <f t="shared" si="100"/>
        <v>-0.28789999999999993</v>
      </c>
    </row>
    <row r="152" spans="1:17" ht="12.75" hidden="1" outlineLevel="1">
      <c r="A152" s="18" t="s">
        <v>56</v>
      </c>
      <c r="B152" s="38">
        <f t="shared" si="94"/>
        <v>834</v>
      </c>
      <c r="C152" s="59">
        <f t="shared" si="95"/>
        <v>0.5899999999999963</v>
      </c>
      <c r="E152" s="22">
        <v>30</v>
      </c>
      <c r="H152" s="38">
        <f t="shared" si="91"/>
        <v>32</v>
      </c>
      <c r="J152" s="38">
        <f t="shared" si="96"/>
        <v>866</v>
      </c>
      <c r="K152" s="35">
        <f t="shared" si="92"/>
        <v>0.8299999999999947</v>
      </c>
      <c r="L152" s="44">
        <f t="shared" si="93"/>
        <v>7211</v>
      </c>
      <c r="M152" s="84">
        <f t="shared" si="97"/>
        <v>0.06772863462604138</v>
      </c>
      <c r="N152" s="195">
        <f>J152*(F147/100)+K152</f>
        <v>806.21</v>
      </c>
      <c r="O152" s="129">
        <f t="shared" si="98"/>
        <v>1130.54</v>
      </c>
      <c r="P152" s="82">
        <f t="shared" si="99"/>
        <v>-324.3299999999999</v>
      </c>
      <c r="Q152" s="198">
        <f t="shared" si="100"/>
        <v>-0.286880605728236</v>
      </c>
    </row>
    <row r="153" spans="1:17" ht="12.75" hidden="1" outlineLevel="1">
      <c r="A153" s="19" t="s">
        <v>6</v>
      </c>
      <c r="B153" s="38">
        <f t="shared" si="94"/>
        <v>1049</v>
      </c>
      <c r="C153" s="59">
        <f t="shared" si="95"/>
        <v>0.00999999999999801</v>
      </c>
      <c r="E153" s="22">
        <v>30</v>
      </c>
      <c r="H153" s="38">
        <f t="shared" si="91"/>
        <v>32</v>
      </c>
      <c r="J153" s="38">
        <f t="shared" si="96"/>
        <v>1081</v>
      </c>
      <c r="K153" s="35">
        <f t="shared" si="92"/>
        <v>0.24999999999999645</v>
      </c>
      <c r="L153" s="44">
        <f t="shared" si="93"/>
        <v>9360</v>
      </c>
      <c r="M153" s="84">
        <f t="shared" si="97"/>
        <v>0.08791291361804844</v>
      </c>
      <c r="N153" s="195">
        <f>J153*(F147/100)+K153</f>
        <v>1005.58</v>
      </c>
      <c r="O153" s="129">
        <f t="shared" si="98"/>
        <v>1340</v>
      </c>
      <c r="P153" s="82">
        <f t="shared" si="99"/>
        <v>-334.41999999999996</v>
      </c>
      <c r="Q153" s="198">
        <f t="shared" si="100"/>
        <v>-0.24956716417910443</v>
      </c>
    </row>
    <row r="154" spans="1:17" ht="12.75" hidden="1" outlineLevel="1">
      <c r="A154" s="19" t="s">
        <v>50</v>
      </c>
      <c r="B154" s="38">
        <f t="shared" si="94"/>
        <v>810</v>
      </c>
      <c r="C154" s="59">
        <f t="shared" si="95"/>
        <v>0.010000000000001563</v>
      </c>
      <c r="E154" s="22">
        <v>30</v>
      </c>
      <c r="H154" s="38">
        <f t="shared" si="91"/>
        <v>32</v>
      </c>
      <c r="J154" s="38">
        <f t="shared" si="96"/>
        <v>842</v>
      </c>
      <c r="K154" s="35">
        <f t="shared" si="92"/>
        <v>0.25</v>
      </c>
      <c r="L154" s="44">
        <f t="shared" si="93"/>
        <v>6971</v>
      </c>
      <c r="M154" s="84">
        <f t="shared" si="97"/>
        <v>0.06547445735378372</v>
      </c>
      <c r="N154" s="195">
        <f>J154*(F147/100)+K154</f>
        <v>783.3100000000001</v>
      </c>
      <c r="O154" s="129">
        <f t="shared" si="98"/>
        <v>1100</v>
      </c>
      <c r="P154" s="82">
        <f t="shared" si="99"/>
        <v>-316.68999999999994</v>
      </c>
      <c r="Q154" s="198">
        <f t="shared" si="100"/>
        <v>-0.28789999999999993</v>
      </c>
    </row>
    <row r="155" spans="1:17" ht="12.75" hidden="1" outlineLevel="1">
      <c r="A155" s="19" t="s">
        <v>10</v>
      </c>
      <c r="B155" s="38">
        <f t="shared" si="94"/>
        <v>1049</v>
      </c>
      <c r="C155" s="59">
        <f t="shared" si="95"/>
        <v>0.16000000000000014</v>
      </c>
      <c r="E155" s="22">
        <v>30</v>
      </c>
      <c r="H155" s="38">
        <f t="shared" si="91"/>
        <v>32</v>
      </c>
      <c r="J155" s="38">
        <f t="shared" si="96"/>
        <v>1081</v>
      </c>
      <c r="K155" s="35">
        <f t="shared" si="92"/>
        <v>0.3999999999999986</v>
      </c>
      <c r="L155" s="44">
        <f t="shared" si="93"/>
        <v>9361</v>
      </c>
      <c r="M155" s="84">
        <f t="shared" si="97"/>
        <v>0.08792230602334952</v>
      </c>
      <c r="N155" s="195">
        <f>J155*(F147/100)+K155</f>
        <v>1005.73</v>
      </c>
      <c r="O155" s="129">
        <f t="shared" si="98"/>
        <v>1340.28</v>
      </c>
      <c r="P155" s="82">
        <f t="shared" si="99"/>
        <v>-334.54999999999995</v>
      </c>
      <c r="Q155" s="198">
        <f t="shared" si="100"/>
        <v>-0.2496120213686692</v>
      </c>
    </row>
    <row r="156" spans="1:17" ht="12.75" hidden="1" outlineLevel="1">
      <c r="A156" s="19" t="s">
        <v>105</v>
      </c>
      <c r="B156" s="38">
        <f t="shared" si="94"/>
        <v>0</v>
      </c>
      <c r="C156" s="59">
        <f t="shared" si="95"/>
        <v>0</v>
      </c>
      <c r="E156" s="22">
        <v>0</v>
      </c>
      <c r="H156" s="38">
        <f t="shared" si="91"/>
        <v>0</v>
      </c>
      <c r="J156" s="38">
        <f>B156+H156-I156</f>
        <v>0</v>
      </c>
      <c r="K156" s="35">
        <f t="shared" si="92"/>
        <v>0</v>
      </c>
      <c r="L156" s="44">
        <f t="shared" si="93"/>
        <v>1956</v>
      </c>
      <c r="M156" s="84">
        <f t="shared" si="97"/>
        <v>0.018371544768899867</v>
      </c>
      <c r="N156" s="195"/>
      <c r="O156" s="129"/>
      <c r="P156" s="82"/>
      <c r="Q156" s="198"/>
    </row>
    <row r="157" spans="1:17" ht="12.75" hidden="1" outlineLevel="1">
      <c r="A157" s="19" t="s">
        <v>9</v>
      </c>
      <c r="B157" s="38">
        <f t="shared" si="94"/>
        <v>1049</v>
      </c>
      <c r="C157" s="59">
        <f t="shared" si="95"/>
        <v>0.00999999999999801</v>
      </c>
      <c r="E157" s="22">
        <v>30</v>
      </c>
      <c r="H157" s="38">
        <f t="shared" si="91"/>
        <v>32</v>
      </c>
      <c r="J157" s="38">
        <f>B157+H157</f>
        <v>1081</v>
      </c>
      <c r="K157" s="35">
        <f t="shared" si="92"/>
        <v>0.24999999999999645</v>
      </c>
      <c r="L157" s="44">
        <f t="shared" si="93"/>
        <v>9360</v>
      </c>
      <c r="M157" s="84">
        <f t="shared" si="97"/>
        <v>0.08791291361804844</v>
      </c>
      <c r="N157" s="195">
        <f>J157*(F147/100)+K157</f>
        <v>1005.58</v>
      </c>
      <c r="O157" s="129">
        <f t="shared" si="98"/>
        <v>1340</v>
      </c>
      <c r="P157" s="82">
        <f t="shared" si="99"/>
        <v>-334.41999999999996</v>
      </c>
      <c r="Q157" s="198">
        <f t="shared" si="100"/>
        <v>-0.24956716417910443</v>
      </c>
    </row>
    <row r="158" spans="1:17" ht="12.75" hidden="1" outlineLevel="1">
      <c r="A158" s="19" t="s">
        <v>49</v>
      </c>
      <c r="B158" s="38">
        <f>J142</f>
        <v>834</v>
      </c>
      <c r="C158" s="59">
        <f t="shared" si="95"/>
        <v>0.0800000000000054</v>
      </c>
      <c r="E158" s="22">
        <v>30</v>
      </c>
      <c r="H158" s="38">
        <f t="shared" si="91"/>
        <v>32</v>
      </c>
      <c r="J158" s="38">
        <f>B158+H158</f>
        <v>866</v>
      </c>
      <c r="K158" s="35">
        <f t="shared" si="92"/>
        <v>0.32000000000000384</v>
      </c>
      <c r="L158" s="44">
        <f t="shared" si="93"/>
        <v>7170</v>
      </c>
      <c r="M158" s="84">
        <f t="shared" si="97"/>
        <v>0.06734354600869737</v>
      </c>
      <c r="N158" s="195">
        <f>J158*(F147/100)+K158</f>
        <v>805.7</v>
      </c>
      <c r="O158" s="129">
        <f t="shared" si="98"/>
        <v>1130</v>
      </c>
      <c r="P158" s="82">
        <f t="shared" si="99"/>
        <v>-324.29999999999995</v>
      </c>
      <c r="Q158" s="198">
        <f>P158/O158</f>
        <v>-0.28699115044247786</v>
      </c>
    </row>
    <row r="159" spans="1:17" ht="12.75" hidden="1" outlineLevel="1">
      <c r="A159" s="19" t="s">
        <v>53</v>
      </c>
      <c r="B159" s="38">
        <f>J143</f>
        <v>0</v>
      </c>
      <c r="C159" s="59">
        <f t="shared" si="95"/>
        <v>0</v>
      </c>
      <c r="E159" s="22">
        <v>0</v>
      </c>
      <c r="H159" s="38">
        <f t="shared" si="91"/>
        <v>0</v>
      </c>
      <c r="J159" s="38">
        <f>B159+H159</f>
        <v>0</v>
      </c>
      <c r="K159" s="35">
        <f t="shared" si="92"/>
        <v>0</v>
      </c>
      <c r="L159" s="44">
        <f t="shared" si="93"/>
        <v>3695</v>
      </c>
      <c r="M159" s="84">
        <f t="shared" si="97"/>
        <v>0.034704937587466775</v>
      </c>
      <c r="N159" s="195"/>
      <c r="O159" s="129"/>
      <c r="P159" s="82"/>
      <c r="Q159" s="198"/>
    </row>
    <row r="160" spans="1:17" ht="12.75" hidden="1" outlineLevel="1">
      <c r="A160" s="19" t="s">
        <v>8</v>
      </c>
      <c r="B160" s="38">
        <f>J144</f>
        <v>1049</v>
      </c>
      <c r="C160" s="59">
        <f t="shared" si="95"/>
        <v>0.00999999999999801</v>
      </c>
      <c r="E160" s="22">
        <v>30</v>
      </c>
      <c r="H160" s="38">
        <f t="shared" si="91"/>
        <v>32</v>
      </c>
      <c r="J160" s="38">
        <f>B160+H160</f>
        <v>1081</v>
      </c>
      <c r="K160" s="35">
        <f t="shared" si="92"/>
        <v>0.24999999999999645</v>
      </c>
      <c r="L160" s="44">
        <f t="shared" si="93"/>
        <v>9360</v>
      </c>
      <c r="M160" s="84">
        <f t="shared" si="97"/>
        <v>0.08791291361804844</v>
      </c>
      <c r="N160" s="195">
        <f>J160*(F147/100)+K160</f>
        <v>1005.58</v>
      </c>
      <c r="O160" s="129">
        <f t="shared" si="98"/>
        <v>1340</v>
      </c>
      <c r="P160" s="82">
        <f t="shared" si="99"/>
        <v>-334.41999999999996</v>
      </c>
      <c r="Q160" s="198">
        <f>P160/O160</f>
        <v>-0.24956716417910443</v>
      </c>
    </row>
    <row r="161" spans="5:17" ht="12.75" collapsed="1">
      <c r="E161" s="22">
        <f>SUM(E147:E160)</f>
        <v>360</v>
      </c>
      <c r="J161" s="69">
        <f>SUM(J147:J160)</f>
        <v>11825</v>
      </c>
      <c r="K161" s="35">
        <f>SUM(K147:K160)</f>
        <v>4.299999999999979</v>
      </c>
      <c r="L161" s="70">
        <f>SUM(L147:L160)</f>
        <v>106469</v>
      </c>
      <c r="M161" s="84">
        <f>SUM(M147:M160)</f>
        <v>1</v>
      </c>
      <c r="P161" s="243"/>
      <c r="Q161" s="199"/>
    </row>
    <row r="162" spans="1:17" ht="12.75">
      <c r="A162" s="36">
        <v>37653</v>
      </c>
      <c r="C162" s="59"/>
      <c r="P162" s="243"/>
      <c r="Q162" s="199"/>
    </row>
    <row r="163" spans="1:17" ht="12.75" hidden="1" outlineLevel="1">
      <c r="A163" s="19" t="s">
        <v>5</v>
      </c>
      <c r="B163" s="38">
        <f>J147</f>
        <v>1081</v>
      </c>
      <c r="C163" s="59">
        <f>K147</f>
        <v>0.24999999999999645</v>
      </c>
      <c r="E163" s="22">
        <v>30</v>
      </c>
      <c r="F163" s="31">
        <f>Assets!I280</f>
        <v>87</v>
      </c>
      <c r="H163" s="38">
        <f aca="true" t="shared" si="101" ref="H163:H176">INT(100*(C163+E163)/F$163)</f>
        <v>34</v>
      </c>
      <c r="J163" s="38">
        <f aca="true" t="shared" si="102" ref="J163:J171">B163+H163</f>
        <v>1115</v>
      </c>
      <c r="K163" s="35">
        <f aca="true" t="shared" si="103" ref="K163:K176">(E163+C163)-ROUND(H163*F$163/100,2)</f>
        <v>0.6699999999999982</v>
      </c>
      <c r="L163" s="44">
        <f>L147+J163</f>
        <v>10475</v>
      </c>
      <c r="M163" s="84">
        <f>L163/L$177</f>
        <v>0.0882447095295862</v>
      </c>
      <c r="N163" s="195">
        <f>J163*(F163/100)+K163</f>
        <v>970.7199999999999</v>
      </c>
      <c r="O163" s="129">
        <f>O147+E163</f>
        <v>1370</v>
      </c>
      <c r="P163" s="82">
        <f>N163-O163</f>
        <v>-399.2800000000001</v>
      </c>
      <c r="Q163" s="198">
        <f>P163/O163</f>
        <v>-0.2914452554744526</v>
      </c>
    </row>
    <row r="164" spans="1:17" ht="12.75" hidden="1" outlineLevel="1">
      <c r="A164" s="19" t="s">
        <v>54</v>
      </c>
      <c r="B164" s="38">
        <f aca="true" t="shared" si="104" ref="B164:B173">J148</f>
        <v>842</v>
      </c>
      <c r="C164" s="59">
        <f aca="true" t="shared" si="105" ref="C164:C176">K148</f>
        <v>0.7500000000000036</v>
      </c>
      <c r="E164" s="22">
        <v>30</v>
      </c>
      <c r="H164" s="38">
        <f t="shared" si="101"/>
        <v>35</v>
      </c>
      <c r="J164" s="38">
        <f t="shared" si="102"/>
        <v>877</v>
      </c>
      <c r="K164" s="35">
        <f t="shared" si="103"/>
        <v>0.30000000000000426</v>
      </c>
      <c r="L164" s="44">
        <f aca="true" t="shared" si="106" ref="L164:L175">L148+J164</f>
        <v>7851</v>
      </c>
      <c r="M164" s="84">
        <f aca="true" t="shared" si="107" ref="M164:M176">L164/L$177</f>
        <v>0.06613930448847553</v>
      </c>
      <c r="N164" s="195">
        <f>J164*(F163/100)+K164</f>
        <v>763.29</v>
      </c>
      <c r="O164" s="129">
        <f aca="true" t="shared" si="108" ref="O164:O176">O148+E164</f>
        <v>1130</v>
      </c>
      <c r="P164" s="82">
        <f aca="true" t="shared" si="109" ref="P164:P176">N164-O164</f>
        <v>-366.71000000000004</v>
      </c>
      <c r="Q164" s="198">
        <f>P164/O164</f>
        <v>-0.32452212389380536</v>
      </c>
    </row>
    <row r="165" spans="1:17" ht="12.75" hidden="1" outlineLevel="1">
      <c r="A165" s="19" t="s">
        <v>11</v>
      </c>
      <c r="B165" s="38">
        <f t="shared" si="104"/>
        <v>1081</v>
      </c>
      <c r="C165" s="59">
        <f t="shared" si="105"/>
        <v>0.24999999999999645</v>
      </c>
      <c r="E165" s="22">
        <v>30</v>
      </c>
      <c r="H165" s="38">
        <f t="shared" si="101"/>
        <v>34</v>
      </c>
      <c r="J165" s="38">
        <f t="shared" si="102"/>
        <v>1115</v>
      </c>
      <c r="K165" s="35">
        <f t="shared" si="103"/>
        <v>0.6699999999999982</v>
      </c>
      <c r="L165" s="44">
        <f t="shared" si="106"/>
        <v>10475</v>
      </c>
      <c r="M165" s="84">
        <f t="shared" si="107"/>
        <v>0.0882447095295862</v>
      </c>
      <c r="N165" s="195">
        <f>J165*(F163/100)+K165</f>
        <v>970.7199999999999</v>
      </c>
      <c r="O165" s="129">
        <f t="shared" si="108"/>
        <v>1370</v>
      </c>
      <c r="P165" s="82">
        <f t="shared" si="109"/>
        <v>-399.2800000000001</v>
      </c>
      <c r="Q165" s="198">
        <f aca="true" t="shared" si="110" ref="Q165:Q173">P165/O165</f>
        <v>-0.2914452554744526</v>
      </c>
    </row>
    <row r="166" spans="1:17" ht="12.75" hidden="1" outlineLevel="1">
      <c r="A166" s="18" t="s">
        <v>7</v>
      </c>
      <c r="B166" s="38">
        <f t="shared" si="104"/>
        <v>1081</v>
      </c>
      <c r="C166" s="59">
        <f t="shared" si="105"/>
        <v>0.24999999999999645</v>
      </c>
      <c r="E166" s="22">
        <v>30</v>
      </c>
      <c r="H166" s="38">
        <f t="shared" si="101"/>
        <v>34</v>
      </c>
      <c r="J166" s="38">
        <f t="shared" si="102"/>
        <v>1115</v>
      </c>
      <c r="K166" s="35">
        <f t="shared" si="103"/>
        <v>0.6699999999999982</v>
      </c>
      <c r="L166" s="44">
        <f t="shared" si="106"/>
        <v>10475</v>
      </c>
      <c r="M166" s="84">
        <f t="shared" si="107"/>
        <v>0.0882447095295862</v>
      </c>
      <c r="N166" s="195">
        <f>J166*(F163/100)+K166</f>
        <v>970.7199999999999</v>
      </c>
      <c r="O166" s="129">
        <f t="shared" si="108"/>
        <v>1370</v>
      </c>
      <c r="P166" s="82">
        <f t="shared" si="109"/>
        <v>-399.2800000000001</v>
      </c>
      <c r="Q166" s="198">
        <f t="shared" si="110"/>
        <v>-0.2914452554744526</v>
      </c>
    </row>
    <row r="167" spans="1:17" ht="12.75" hidden="1" outlineLevel="1">
      <c r="A167" s="18" t="s">
        <v>52</v>
      </c>
      <c r="B167" s="38">
        <f t="shared" si="104"/>
        <v>842</v>
      </c>
      <c r="C167" s="59">
        <f t="shared" si="105"/>
        <v>0.25</v>
      </c>
      <c r="E167" s="22">
        <v>30</v>
      </c>
      <c r="H167" s="38">
        <f t="shared" si="101"/>
        <v>34</v>
      </c>
      <c r="J167" s="38">
        <f t="shared" si="102"/>
        <v>876</v>
      </c>
      <c r="K167" s="35">
        <f t="shared" si="103"/>
        <v>0.6700000000000017</v>
      </c>
      <c r="L167" s="44">
        <f t="shared" si="106"/>
        <v>7847</v>
      </c>
      <c r="M167" s="84">
        <f t="shared" si="107"/>
        <v>0.06610560722469336</v>
      </c>
      <c r="N167" s="195">
        <f>J167*(F163/100)+K167</f>
        <v>762.79</v>
      </c>
      <c r="O167" s="129">
        <f t="shared" si="108"/>
        <v>1130</v>
      </c>
      <c r="P167" s="82">
        <f t="shared" si="109"/>
        <v>-367.21000000000004</v>
      </c>
      <c r="Q167" s="198">
        <f t="shared" si="110"/>
        <v>-0.32496460176991154</v>
      </c>
    </row>
    <row r="168" spans="1:17" ht="12.75" hidden="1" outlineLevel="1">
      <c r="A168" s="18" t="s">
        <v>56</v>
      </c>
      <c r="B168" s="38">
        <f t="shared" si="104"/>
        <v>866</v>
      </c>
      <c r="C168" s="59">
        <f t="shared" si="105"/>
        <v>0.8299999999999947</v>
      </c>
      <c r="E168" s="22">
        <v>30</v>
      </c>
      <c r="H168" s="38">
        <f t="shared" si="101"/>
        <v>35</v>
      </c>
      <c r="J168" s="38">
        <f t="shared" si="102"/>
        <v>901</v>
      </c>
      <c r="K168" s="35">
        <f t="shared" si="103"/>
        <v>0.37999999999999545</v>
      </c>
      <c r="L168" s="44">
        <f t="shared" si="106"/>
        <v>8112</v>
      </c>
      <c r="M168" s="84">
        <f t="shared" si="107"/>
        <v>0.06833805095026284</v>
      </c>
      <c r="N168" s="195">
        <f>J168*(F163/100)+K168</f>
        <v>784.25</v>
      </c>
      <c r="O168" s="129">
        <f t="shared" si="108"/>
        <v>1160.54</v>
      </c>
      <c r="P168" s="82">
        <f t="shared" si="109"/>
        <v>-376.28999999999996</v>
      </c>
      <c r="Q168" s="198">
        <f t="shared" si="110"/>
        <v>-0.3242369931238906</v>
      </c>
    </row>
    <row r="169" spans="1:17" ht="12.75" hidden="1" outlineLevel="1">
      <c r="A169" s="19" t="s">
        <v>6</v>
      </c>
      <c r="B169" s="38">
        <f t="shared" si="104"/>
        <v>1081</v>
      </c>
      <c r="C169" s="59">
        <f t="shared" si="105"/>
        <v>0.24999999999999645</v>
      </c>
      <c r="E169" s="22">
        <v>30</v>
      </c>
      <c r="H169" s="38">
        <f t="shared" si="101"/>
        <v>34</v>
      </c>
      <c r="J169" s="38">
        <f t="shared" si="102"/>
        <v>1115</v>
      </c>
      <c r="K169" s="35">
        <f t="shared" si="103"/>
        <v>0.6699999999999982</v>
      </c>
      <c r="L169" s="44">
        <f t="shared" si="106"/>
        <v>10475</v>
      </c>
      <c r="M169" s="84">
        <f t="shared" si="107"/>
        <v>0.0882447095295862</v>
      </c>
      <c r="N169" s="195">
        <f>J169*(F163/100)+K169</f>
        <v>970.7199999999999</v>
      </c>
      <c r="O169" s="129">
        <f t="shared" si="108"/>
        <v>1370</v>
      </c>
      <c r="P169" s="82">
        <f t="shared" si="109"/>
        <v>-399.2800000000001</v>
      </c>
      <c r="Q169" s="198">
        <f t="shared" si="110"/>
        <v>-0.2914452554744526</v>
      </c>
    </row>
    <row r="170" spans="1:17" ht="12.75" hidden="1" outlineLevel="1">
      <c r="A170" s="19" t="s">
        <v>50</v>
      </c>
      <c r="B170" s="38">
        <f t="shared" si="104"/>
        <v>842</v>
      </c>
      <c r="C170" s="59">
        <f t="shared" si="105"/>
        <v>0.25</v>
      </c>
      <c r="E170" s="22">
        <v>30</v>
      </c>
      <c r="H170" s="38">
        <f t="shared" si="101"/>
        <v>34</v>
      </c>
      <c r="J170" s="38">
        <f t="shared" si="102"/>
        <v>876</v>
      </c>
      <c r="K170" s="35">
        <f t="shared" si="103"/>
        <v>0.6700000000000017</v>
      </c>
      <c r="L170" s="44">
        <f t="shared" si="106"/>
        <v>7847</v>
      </c>
      <c r="M170" s="84">
        <f t="shared" si="107"/>
        <v>0.06610560722469336</v>
      </c>
      <c r="N170" s="195">
        <f>J170*(F163/100)+K170</f>
        <v>762.79</v>
      </c>
      <c r="O170" s="129">
        <f t="shared" si="108"/>
        <v>1130</v>
      </c>
      <c r="P170" s="82">
        <f t="shared" si="109"/>
        <v>-367.21000000000004</v>
      </c>
      <c r="Q170" s="198">
        <f t="shared" si="110"/>
        <v>-0.32496460176991154</v>
      </c>
    </row>
    <row r="171" spans="1:17" ht="12.75" hidden="1" outlineLevel="1">
      <c r="A171" s="19" t="s">
        <v>10</v>
      </c>
      <c r="B171" s="38">
        <f t="shared" si="104"/>
        <v>1081</v>
      </c>
      <c r="C171" s="59">
        <f t="shared" si="105"/>
        <v>0.3999999999999986</v>
      </c>
      <c r="E171" s="22">
        <v>30</v>
      </c>
      <c r="H171" s="38">
        <f t="shared" si="101"/>
        <v>34</v>
      </c>
      <c r="J171" s="38">
        <f t="shared" si="102"/>
        <v>1115</v>
      </c>
      <c r="K171" s="35">
        <f t="shared" si="103"/>
        <v>0.8200000000000003</v>
      </c>
      <c r="L171" s="44">
        <f t="shared" si="106"/>
        <v>10476</v>
      </c>
      <c r="M171" s="84">
        <f t="shared" si="107"/>
        <v>0.08825313384553174</v>
      </c>
      <c r="N171" s="195">
        <f>J171*(F163/100)+K171</f>
        <v>970.87</v>
      </c>
      <c r="O171" s="129">
        <f t="shared" si="108"/>
        <v>1370.28</v>
      </c>
      <c r="P171" s="82">
        <f t="shared" si="109"/>
        <v>-399.40999999999997</v>
      </c>
      <c r="Q171" s="198">
        <f t="shared" si="110"/>
        <v>-0.29148057331348337</v>
      </c>
    </row>
    <row r="172" spans="1:17" ht="12.75" hidden="1" outlineLevel="1">
      <c r="A172" s="19" t="s">
        <v>105</v>
      </c>
      <c r="B172" s="38">
        <f t="shared" si="104"/>
        <v>0</v>
      </c>
      <c r="C172" s="59">
        <f t="shared" si="105"/>
        <v>0</v>
      </c>
      <c r="E172" s="22">
        <v>0</v>
      </c>
      <c r="H172" s="38">
        <f t="shared" si="101"/>
        <v>0</v>
      </c>
      <c r="J172" s="38">
        <f>B172+H172-I172</f>
        <v>0</v>
      </c>
      <c r="K172" s="35">
        <f t="shared" si="103"/>
        <v>0</v>
      </c>
      <c r="L172" s="44">
        <f t="shared" si="106"/>
        <v>1956</v>
      </c>
      <c r="M172" s="84">
        <f t="shared" si="107"/>
        <v>0.016477961989486454</v>
      </c>
      <c r="N172" s="195"/>
      <c r="O172" s="129"/>
      <c r="P172" s="82"/>
      <c r="Q172" s="198"/>
    </row>
    <row r="173" spans="1:17" ht="12.75" hidden="1" outlineLevel="1">
      <c r="A173" s="19" t="s">
        <v>9</v>
      </c>
      <c r="B173" s="38">
        <f t="shared" si="104"/>
        <v>1081</v>
      </c>
      <c r="C173" s="59">
        <f t="shared" si="105"/>
        <v>0.24999999999999645</v>
      </c>
      <c r="E173" s="22">
        <v>30</v>
      </c>
      <c r="H173" s="38">
        <f t="shared" si="101"/>
        <v>34</v>
      </c>
      <c r="J173" s="38">
        <f>B173+H173</f>
        <v>1115</v>
      </c>
      <c r="K173" s="35">
        <f t="shared" si="103"/>
        <v>0.6699999999999982</v>
      </c>
      <c r="L173" s="44">
        <f t="shared" si="106"/>
        <v>10475</v>
      </c>
      <c r="M173" s="84">
        <f t="shared" si="107"/>
        <v>0.0882447095295862</v>
      </c>
      <c r="N173" s="195">
        <f>J173*(F163/100)+K173</f>
        <v>970.7199999999999</v>
      </c>
      <c r="O173" s="129">
        <f t="shared" si="108"/>
        <v>1370</v>
      </c>
      <c r="P173" s="82">
        <f t="shared" si="109"/>
        <v>-399.2800000000001</v>
      </c>
      <c r="Q173" s="198">
        <f t="shared" si="110"/>
        <v>-0.2914452554744526</v>
      </c>
    </row>
    <row r="174" spans="1:17" ht="12.75" hidden="1" outlineLevel="1">
      <c r="A174" s="19" t="s">
        <v>49</v>
      </c>
      <c r="B174" s="38">
        <f>J158</f>
        <v>866</v>
      </c>
      <c r="C174" s="59">
        <f t="shared" si="105"/>
        <v>0.32000000000000384</v>
      </c>
      <c r="E174" s="22">
        <v>30</v>
      </c>
      <c r="H174" s="38">
        <f t="shared" si="101"/>
        <v>34</v>
      </c>
      <c r="J174" s="38">
        <f>B174+H174</f>
        <v>900</v>
      </c>
      <c r="K174" s="35">
        <f t="shared" si="103"/>
        <v>0.7400000000000055</v>
      </c>
      <c r="L174" s="44">
        <f t="shared" si="106"/>
        <v>8070</v>
      </c>
      <c r="M174" s="84">
        <f t="shared" si="107"/>
        <v>0.06798422968054994</v>
      </c>
      <c r="N174" s="195">
        <f>J174*(F163/100)+K174</f>
        <v>783.74</v>
      </c>
      <c r="O174" s="129">
        <f t="shared" si="108"/>
        <v>1160</v>
      </c>
      <c r="P174" s="82">
        <f t="shared" si="109"/>
        <v>-376.26</v>
      </c>
      <c r="Q174" s="198">
        <f>P174/O174</f>
        <v>-0.3243620689655172</v>
      </c>
    </row>
    <row r="175" spans="1:17" ht="12.75" hidden="1" outlineLevel="1">
      <c r="A175" s="19" t="s">
        <v>53</v>
      </c>
      <c r="B175" s="38">
        <f>J159</f>
        <v>0</v>
      </c>
      <c r="C175" s="59">
        <f t="shared" si="105"/>
        <v>0</v>
      </c>
      <c r="E175" s="22">
        <v>0</v>
      </c>
      <c r="H175" s="38">
        <f t="shared" si="101"/>
        <v>0</v>
      </c>
      <c r="J175" s="38">
        <f>B175+H175</f>
        <v>0</v>
      </c>
      <c r="K175" s="35">
        <f t="shared" si="103"/>
        <v>0</v>
      </c>
      <c r="L175" s="44">
        <f t="shared" si="106"/>
        <v>3695</v>
      </c>
      <c r="M175" s="84">
        <f t="shared" si="107"/>
        <v>0.031127847418789593</v>
      </c>
      <c r="N175" s="195"/>
      <c r="O175" s="129"/>
      <c r="P175" s="82"/>
      <c r="Q175" s="198"/>
    </row>
    <row r="176" spans="1:17" ht="12.75" hidden="1" outlineLevel="1">
      <c r="A176" s="19" t="s">
        <v>8</v>
      </c>
      <c r="B176" s="38">
        <f>J160</f>
        <v>1081</v>
      </c>
      <c r="C176" s="59">
        <f t="shared" si="105"/>
        <v>0.24999999999999645</v>
      </c>
      <c r="E176" s="22">
        <v>30</v>
      </c>
      <c r="H176" s="38">
        <f t="shared" si="101"/>
        <v>34</v>
      </c>
      <c r="J176" s="38">
        <f>B176+H176</f>
        <v>1115</v>
      </c>
      <c r="K176" s="35">
        <f t="shared" si="103"/>
        <v>0.6699999999999982</v>
      </c>
      <c r="L176" s="44">
        <f>L160+J176</f>
        <v>10475</v>
      </c>
      <c r="M176" s="84">
        <f t="shared" si="107"/>
        <v>0.0882447095295862</v>
      </c>
      <c r="N176" s="195">
        <f>J176*(F163/100)+K176</f>
        <v>970.7199999999999</v>
      </c>
      <c r="O176" s="129">
        <f t="shared" si="108"/>
        <v>1370</v>
      </c>
      <c r="P176" s="82">
        <f t="shared" si="109"/>
        <v>-399.2800000000001</v>
      </c>
      <c r="Q176" s="198">
        <f>P176/O176</f>
        <v>-0.2914452554744526</v>
      </c>
    </row>
    <row r="177" spans="5:17" ht="12.75" collapsed="1">
      <c r="E177" s="22">
        <f>SUM(E163:E176)</f>
        <v>360</v>
      </c>
      <c r="J177" s="69">
        <f>SUM(J163:J176)</f>
        <v>12235</v>
      </c>
      <c r="K177" s="35">
        <f>SUM(K163:K176)</f>
        <v>7.599999999999998</v>
      </c>
      <c r="L177" s="70">
        <f>SUM(L163:L176)</f>
        <v>118704</v>
      </c>
      <c r="M177" s="84">
        <f>SUM(M163:M176)</f>
        <v>1</v>
      </c>
      <c r="P177" s="243"/>
      <c r="Q177" s="199"/>
    </row>
    <row r="178" spans="1:17" ht="12.75">
      <c r="A178" s="36">
        <v>37681</v>
      </c>
      <c r="C178" s="59"/>
      <c r="P178" s="243"/>
      <c r="Q178" s="199"/>
    </row>
    <row r="179" spans="1:17" ht="12.75" hidden="1" outlineLevel="1">
      <c r="A179" s="19" t="s">
        <v>5</v>
      </c>
      <c r="B179" s="38">
        <f>J163</f>
        <v>1115</v>
      </c>
      <c r="C179" s="59">
        <f>K163</f>
        <v>0.6699999999999982</v>
      </c>
      <c r="E179" s="22">
        <v>30</v>
      </c>
      <c r="F179" s="31">
        <f>Assets!I309</f>
        <v>86</v>
      </c>
      <c r="H179" s="38">
        <f>INT(100*(C179+E179)/F$179)</f>
        <v>35</v>
      </c>
      <c r="J179" s="38">
        <f aca="true" t="shared" si="111" ref="J179:J187">B179+H179</f>
        <v>1150</v>
      </c>
      <c r="K179" s="35">
        <f>(E179+C179)-ROUND(H179*F$179/100,2)</f>
        <v>0.5699999999999967</v>
      </c>
      <c r="L179" s="44">
        <f aca="true" t="shared" si="112" ref="L179:L192">L163+J179</f>
        <v>11625</v>
      </c>
      <c r="M179" s="84">
        <f>L179/L$193</f>
        <v>0.08849793314504525</v>
      </c>
      <c r="N179" s="195">
        <f>J179*(F179/100)+K179</f>
        <v>989.57</v>
      </c>
      <c r="O179" s="129">
        <f>O163+E179</f>
        <v>1400</v>
      </c>
      <c r="P179" s="82">
        <f>N179-O179</f>
        <v>-410.42999999999995</v>
      </c>
      <c r="Q179" s="198">
        <f>P179/O179</f>
        <v>-0.29316428571428566</v>
      </c>
    </row>
    <row r="180" spans="1:17" ht="12.75" hidden="1" outlineLevel="1">
      <c r="A180" s="19" t="s">
        <v>54</v>
      </c>
      <c r="B180" s="38">
        <f aca="true" t="shared" si="113" ref="B180:B189">J164</f>
        <v>877</v>
      </c>
      <c r="C180" s="59">
        <f>K164</f>
        <v>0.30000000000000426</v>
      </c>
      <c r="E180" s="22">
        <v>30</v>
      </c>
      <c r="H180" s="38">
        <f aca="true" t="shared" si="114" ref="H180:H192">INT(100*(C180+E180)/F$179)</f>
        <v>35</v>
      </c>
      <c r="J180" s="38">
        <f t="shared" si="111"/>
        <v>912</v>
      </c>
      <c r="K180" s="35">
        <f aca="true" t="shared" si="115" ref="K180:K192">(E180+C180)-ROUND(H180*F$179/100,2)</f>
        <v>0.20000000000000284</v>
      </c>
      <c r="L180" s="44">
        <f t="shared" si="112"/>
        <v>8763</v>
      </c>
      <c r="M180" s="84">
        <f aca="true" t="shared" si="116" ref="M180:M192">L180/L$193</f>
        <v>0.06671031295914251</v>
      </c>
      <c r="N180" s="195">
        <f>J180*(F179/100)+K180</f>
        <v>784.52</v>
      </c>
      <c r="O180" s="129">
        <f aca="true" t="shared" si="117" ref="O180:O190">O164+E180</f>
        <v>1160</v>
      </c>
      <c r="P180" s="82">
        <f aca="true" t="shared" si="118" ref="P180:P192">N180-O180</f>
        <v>-375.48</v>
      </c>
      <c r="Q180" s="198">
        <f>P180/O180</f>
        <v>-0.3236896551724138</v>
      </c>
    </row>
    <row r="181" spans="1:17" ht="12.75" hidden="1" outlineLevel="1">
      <c r="A181" s="19" t="s">
        <v>11</v>
      </c>
      <c r="B181" s="38">
        <f t="shared" si="113"/>
        <v>1115</v>
      </c>
      <c r="C181" s="59">
        <f>K165</f>
        <v>0.6699999999999982</v>
      </c>
      <c r="E181" s="22">
        <v>30</v>
      </c>
      <c r="H181" s="38">
        <f t="shared" si="114"/>
        <v>35</v>
      </c>
      <c r="J181" s="38">
        <f t="shared" si="111"/>
        <v>1150</v>
      </c>
      <c r="K181" s="35">
        <f t="shared" si="115"/>
        <v>0.5699999999999967</v>
      </c>
      <c r="L181" s="44">
        <f t="shared" si="112"/>
        <v>11625</v>
      </c>
      <c r="M181" s="84">
        <f t="shared" si="116"/>
        <v>0.08849793314504525</v>
      </c>
      <c r="N181" s="195">
        <f>J181*(F179/100)+K181</f>
        <v>989.57</v>
      </c>
      <c r="O181" s="129">
        <f t="shared" si="117"/>
        <v>1400</v>
      </c>
      <c r="P181" s="82">
        <f t="shared" si="118"/>
        <v>-410.42999999999995</v>
      </c>
      <c r="Q181" s="198">
        <f aca="true" t="shared" si="119" ref="Q181:Q189">P181/O181</f>
        <v>-0.29316428571428566</v>
      </c>
    </row>
    <row r="182" spans="1:17" ht="12.75" hidden="1" outlineLevel="1">
      <c r="A182" s="18" t="s">
        <v>7</v>
      </c>
      <c r="B182" s="38">
        <f t="shared" si="113"/>
        <v>1115</v>
      </c>
      <c r="C182" s="59">
        <f aca="true" t="shared" si="120" ref="C182:C192">K166</f>
        <v>0.6699999999999982</v>
      </c>
      <c r="E182" s="22">
        <v>30</v>
      </c>
      <c r="H182" s="38">
        <f t="shared" si="114"/>
        <v>35</v>
      </c>
      <c r="J182" s="38">
        <f t="shared" si="111"/>
        <v>1150</v>
      </c>
      <c r="K182" s="35">
        <f t="shared" si="115"/>
        <v>0.5699999999999967</v>
      </c>
      <c r="L182" s="44">
        <f t="shared" si="112"/>
        <v>11625</v>
      </c>
      <c r="M182" s="84">
        <f t="shared" si="116"/>
        <v>0.08849793314504525</v>
      </c>
      <c r="N182" s="195">
        <f>J182*(F179/100)+K182</f>
        <v>989.57</v>
      </c>
      <c r="O182" s="129">
        <f t="shared" si="117"/>
        <v>1400</v>
      </c>
      <c r="P182" s="82">
        <f t="shared" si="118"/>
        <v>-410.42999999999995</v>
      </c>
      <c r="Q182" s="198">
        <f t="shared" si="119"/>
        <v>-0.29316428571428566</v>
      </c>
    </row>
    <row r="183" spans="1:17" ht="12.75" hidden="1" outlineLevel="1">
      <c r="A183" s="18" t="s">
        <v>52</v>
      </c>
      <c r="B183" s="38">
        <f t="shared" si="113"/>
        <v>876</v>
      </c>
      <c r="C183" s="59">
        <f>K167</f>
        <v>0.6700000000000017</v>
      </c>
      <c r="E183" s="22">
        <v>30</v>
      </c>
      <c r="H183" s="38">
        <f t="shared" si="114"/>
        <v>35</v>
      </c>
      <c r="J183" s="38">
        <f t="shared" si="111"/>
        <v>911</v>
      </c>
      <c r="K183" s="35">
        <f t="shared" si="115"/>
        <v>0.5700000000000003</v>
      </c>
      <c r="L183" s="44">
        <f t="shared" si="112"/>
        <v>8758</v>
      </c>
      <c r="M183" s="84">
        <f t="shared" si="116"/>
        <v>0.06667224933198335</v>
      </c>
      <c r="N183" s="195">
        <f>J183*(F179/100)+K183</f>
        <v>784.0300000000001</v>
      </c>
      <c r="O183" s="129">
        <f t="shared" si="117"/>
        <v>1160</v>
      </c>
      <c r="P183" s="82">
        <f t="shared" si="118"/>
        <v>-375.9699999999999</v>
      </c>
      <c r="Q183" s="198">
        <f t="shared" si="119"/>
        <v>-0.32411206896551714</v>
      </c>
    </row>
    <row r="184" spans="1:17" ht="12.75" hidden="1" outlineLevel="1">
      <c r="A184" s="18" t="s">
        <v>56</v>
      </c>
      <c r="B184" s="38">
        <f t="shared" si="113"/>
        <v>901</v>
      </c>
      <c r="C184" s="59">
        <f t="shared" si="120"/>
        <v>0.37999999999999545</v>
      </c>
      <c r="E184" s="22">
        <v>30.27</v>
      </c>
      <c r="H184" s="38">
        <f t="shared" si="114"/>
        <v>35</v>
      </c>
      <c r="J184" s="38">
        <f t="shared" si="111"/>
        <v>936</v>
      </c>
      <c r="K184" s="35">
        <f t="shared" si="115"/>
        <v>0.5499999999999936</v>
      </c>
      <c r="L184" s="44">
        <f t="shared" si="112"/>
        <v>9048</v>
      </c>
      <c r="M184" s="84">
        <f t="shared" si="116"/>
        <v>0.06887993970721458</v>
      </c>
      <c r="N184" s="195">
        <f>J184*(F179/100)+K184</f>
        <v>805.51</v>
      </c>
      <c r="O184" s="129">
        <f t="shared" si="117"/>
        <v>1190.81</v>
      </c>
      <c r="P184" s="82">
        <f t="shared" si="118"/>
        <v>-385.29999999999995</v>
      </c>
      <c r="Q184" s="198">
        <f t="shared" si="119"/>
        <v>-0.3235612734189333</v>
      </c>
    </row>
    <row r="185" spans="1:17" ht="12.75" hidden="1" outlineLevel="1">
      <c r="A185" s="19" t="s">
        <v>6</v>
      </c>
      <c r="B185" s="38">
        <f t="shared" si="113"/>
        <v>1115</v>
      </c>
      <c r="C185" s="59">
        <f t="shared" si="120"/>
        <v>0.6699999999999982</v>
      </c>
      <c r="E185" s="22">
        <v>30</v>
      </c>
      <c r="H185" s="38">
        <f t="shared" si="114"/>
        <v>35</v>
      </c>
      <c r="J185" s="38">
        <f t="shared" si="111"/>
        <v>1150</v>
      </c>
      <c r="K185" s="35">
        <f t="shared" si="115"/>
        <v>0.5699999999999967</v>
      </c>
      <c r="L185" s="44">
        <f t="shared" si="112"/>
        <v>11625</v>
      </c>
      <c r="M185" s="84">
        <f t="shared" si="116"/>
        <v>0.08849793314504525</v>
      </c>
      <c r="N185" s="195">
        <f>J185*(F179/100)+K185</f>
        <v>989.57</v>
      </c>
      <c r="O185" s="129">
        <f t="shared" si="117"/>
        <v>1400</v>
      </c>
      <c r="P185" s="82">
        <f t="shared" si="118"/>
        <v>-410.42999999999995</v>
      </c>
      <c r="Q185" s="198">
        <f t="shared" si="119"/>
        <v>-0.29316428571428566</v>
      </c>
    </row>
    <row r="186" spans="1:17" ht="12.75" hidden="1" outlineLevel="1">
      <c r="A186" s="19" t="s">
        <v>50</v>
      </c>
      <c r="B186" s="38">
        <f t="shared" si="113"/>
        <v>876</v>
      </c>
      <c r="C186" s="59">
        <f t="shared" si="120"/>
        <v>0.6700000000000017</v>
      </c>
      <c r="E186" s="22">
        <v>30</v>
      </c>
      <c r="H186" s="38">
        <f t="shared" si="114"/>
        <v>35</v>
      </c>
      <c r="J186" s="38">
        <f t="shared" si="111"/>
        <v>911</v>
      </c>
      <c r="K186" s="35">
        <f t="shared" si="115"/>
        <v>0.5700000000000003</v>
      </c>
      <c r="L186" s="44">
        <f t="shared" si="112"/>
        <v>8758</v>
      </c>
      <c r="M186" s="84">
        <f t="shared" si="116"/>
        <v>0.06667224933198335</v>
      </c>
      <c r="N186" s="195">
        <f>J186*(F179/100)+K186</f>
        <v>784.0300000000001</v>
      </c>
      <c r="O186" s="129">
        <f t="shared" si="117"/>
        <v>1160</v>
      </c>
      <c r="P186" s="82">
        <f t="shared" si="118"/>
        <v>-375.9699999999999</v>
      </c>
      <c r="Q186" s="198">
        <f t="shared" si="119"/>
        <v>-0.32411206896551714</v>
      </c>
    </row>
    <row r="187" spans="1:17" ht="12.75" hidden="1" outlineLevel="1">
      <c r="A187" s="19" t="s">
        <v>10</v>
      </c>
      <c r="B187" s="38">
        <f t="shared" si="113"/>
        <v>1115</v>
      </c>
      <c r="C187" s="59">
        <f t="shared" si="120"/>
        <v>0.8200000000000003</v>
      </c>
      <c r="E187" s="22">
        <v>30</v>
      </c>
      <c r="H187" s="38">
        <f t="shared" si="114"/>
        <v>35</v>
      </c>
      <c r="J187" s="38">
        <f t="shared" si="111"/>
        <v>1150</v>
      </c>
      <c r="K187" s="35">
        <f t="shared" si="115"/>
        <v>0.7199999999999989</v>
      </c>
      <c r="L187" s="44">
        <f t="shared" si="112"/>
        <v>11626</v>
      </c>
      <c r="M187" s="84">
        <f t="shared" si="116"/>
        <v>0.08850554587047708</v>
      </c>
      <c r="N187" s="195">
        <f>J187*(F179/100)+K187</f>
        <v>989.72</v>
      </c>
      <c r="O187" s="129">
        <f t="shared" si="117"/>
        <v>1400.28</v>
      </c>
      <c r="P187" s="82">
        <f t="shared" si="118"/>
        <v>-410.55999999999995</v>
      </c>
      <c r="Q187" s="198">
        <f t="shared" si="119"/>
        <v>-0.2931985031565115</v>
      </c>
    </row>
    <row r="188" spans="1:17" ht="12.75" hidden="1" outlineLevel="1">
      <c r="A188" s="19" t="s">
        <v>105</v>
      </c>
      <c r="B188" s="38">
        <f t="shared" si="113"/>
        <v>0</v>
      </c>
      <c r="C188" s="59">
        <f t="shared" si="120"/>
        <v>0</v>
      </c>
      <c r="E188" s="22">
        <v>0</v>
      </c>
      <c r="H188" s="38">
        <f t="shared" si="114"/>
        <v>0</v>
      </c>
      <c r="J188" s="38">
        <f>B188+H188-I188</f>
        <v>0</v>
      </c>
      <c r="K188" s="35">
        <f t="shared" si="115"/>
        <v>0</v>
      </c>
      <c r="L188" s="44">
        <f t="shared" si="112"/>
        <v>1956</v>
      </c>
      <c r="M188" s="84">
        <f t="shared" si="116"/>
        <v>0.014890490944663099</v>
      </c>
      <c r="N188" s="195"/>
      <c r="O188" s="129"/>
      <c r="P188" s="82"/>
      <c r="Q188" s="198"/>
    </row>
    <row r="189" spans="1:17" ht="12.75" hidden="1" outlineLevel="1">
      <c r="A189" s="19" t="s">
        <v>9</v>
      </c>
      <c r="B189" s="38">
        <f t="shared" si="113"/>
        <v>1115</v>
      </c>
      <c r="C189" s="59">
        <f t="shared" si="120"/>
        <v>0.6699999999999982</v>
      </c>
      <c r="E189" s="22">
        <v>30</v>
      </c>
      <c r="H189" s="38">
        <f t="shared" si="114"/>
        <v>35</v>
      </c>
      <c r="J189" s="38">
        <f>B189+H189</f>
        <v>1150</v>
      </c>
      <c r="K189" s="35">
        <f t="shared" si="115"/>
        <v>0.5699999999999967</v>
      </c>
      <c r="L189" s="44">
        <f t="shared" si="112"/>
        <v>11625</v>
      </c>
      <c r="M189" s="84">
        <f t="shared" si="116"/>
        <v>0.08849793314504525</v>
      </c>
      <c r="N189" s="195">
        <f>J189*(F179/100)+K189</f>
        <v>989.57</v>
      </c>
      <c r="O189" s="129">
        <f t="shared" si="117"/>
        <v>1400</v>
      </c>
      <c r="P189" s="82">
        <f t="shared" si="118"/>
        <v>-410.42999999999995</v>
      </c>
      <c r="Q189" s="198">
        <f t="shared" si="119"/>
        <v>-0.29316428571428566</v>
      </c>
    </row>
    <row r="190" spans="1:17" ht="12.75" hidden="1" outlineLevel="1">
      <c r="A190" s="19" t="s">
        <v>49</v>
      </c>
      <c r="B190" s="38">
        <f>J174</f>
        <v>900</v>
      </c>
      <c r="C190" s="59">
        <f t="shared" si="120"/>
        <v>0.7400000000000055</v>
      </c>
      <c r="E190" s="22">
        <v>30</v>
      </c>
      <c r="H190" s="38">
        <f t="shared" si="114"/>
        <v>35</v>
      </c>
      <c r="J190" s="38">
        <f>B190+H190</f>
        <v>935</v>
      </c>
      <c r="K190" s="35">
        <f t="shared" si="115"/>
        <v>0.6400000000000041</v>
      </c>
      <c r="L190" s="44">
        <f t="shared" si="112"/>
        <v>9005</v>
      </c>
      <c r="M190" s="84">
        <f t="shared" si="116"/>
        <v>0.06855259251364582</v>
      </c>
      <c r="N190" s="195">
        <f>J190*(F179/100)+K190</f>
        <v>804.74</v>
      </c>
      <c r="O190" s="129">
        <f t="shared" si="117"/>
        <v>1190</v>
      </c>
      <c r="P190" s="82">
        <f t="shared" si="118"/>
        <v>-385.26</v>
      </c>
      <c r="Q190" s="198">
        <f>P190/O190</f>
        <v>-0.32374789915966384</v>
      </c>
    </row>
    <row r="191" spans="1:17" ht="12.75" hidden="1" outlineLevel="1">
      <c r="A191" s="19" t="s">
        <v>53</v>
      </c>
      <c r="B191" s="38">
        <f>J175</f>
        <v>0</v>
      </c>
      <c r="C191" s="59">
        <f t="shared" si="120"/>
        <v>0</v>
      </c>
      <c r="E191" s="22">
        <v>0</v>
      </c>
      <c r="H191" s="38">
        <f t="shared" si="114"/>
        <v>0</v>
      </c>
      <c r="J191" s="38">
        <f>B191+H191</f>
        <v>0</v>
      </c>
      <c r="K191" s="35">
        <f t="shared" si="115"/>
        <v>0</v>
      </c>
      <c r="L191" s="44">
        <f t="shared" si="112"/>
        <v>3695</v>
      </c>
      <c r="M191" s="84">
        <f t="shared" si="116"/>
        <v>0.028129020470618687</v>
      </c>
      <c r="N191" s="195"/>
      <c r="O191" s="129"/>
      <c r="P191" s="82"/>
      <c r="Q191" s="198"/>
    </row>
    <row r="192" spans="1:17" ht="12.75" hidden="1" outlineLevel="1">
      <c r="A192" s="19" t="s">
        <v>8</v>
      </c>
      <c r="B192" s="38">
        <f>J176</f>
        <v>1115</v>
      </c>
      <c r="C192" s="59">
        <f t="shared" si="120"/>
        <v>0.6699999999999982</v>
      </c>
      <c r="E192" s="22">
        <v>30</v>
      </c>
      <c r="H192" s="38">
        <f t="shared" si="114"/>
        <v>35</v>
      </c>
      <c r="J192" s="38">
        <f>B192+H192</f>
        <v>1150</v>
      </c>
      <c r="K192" s="35">
        <f t="shared" si="115"/>
        <v>0.5699999999999967</v>
      </c>
      <c r="L192" s="44">
        <f t="shared" si="112"/>
        <v>11625</v>
      </c>
      <c r="M192" s="84">
        <f t="shared" si="116"/>
        <v>0.08849793314504525</v>
      </c>
      <c r="N192" s="195">
        <f>J192*(F179/100)+K192</f>
        <v>989.57</v>
      </c>
      <c r="O192" s="129">
        <f>O176+E192</f>
        <v>1400</v>
      </c>
      <c r="P192" s="82">
        <f t="shared" si="118"/>
        <v>-410.42999999999995</v>
      </c>
      <c r="Q192" s="198">
        <f>P192/O192</f>
        <v>-0.29316428571428566</v>
      </c>
    </row>
    <row r="193" spans="5:17" ht="12.75" collapsed="1">
      <c r="E193" s="22">
        <f>SUM(E179:E192)</f>
        <v>360.27</v>
      </c>
      <c r="H193" s="38"/>
      <c r="J193" s="69">
        <f>SUM(J179:J192)</f>
        <v>12655</v>
      </c>
      <c r="K193" s="35">
        <f>SUM(K179:K192)</f>
        <v>6.66999999999998</v>
      </c>
      <c r="L193" s="70">
        <f>SUM(L179:L192)</f>
        <v>131359</v>
      </c>
      <c r="M193" s="84">
        <f>SUM(M179:M192)</f>
        <v>1</v>
      </c>
      <c r="P193" s="243"/>
      <c r="Q193" s="199"/>
    </row>
    <row r="194" spans="10:17" ht="12.75">
      <c r="J194" s="69"/>
      <c r="K194" s="35"/>
      <c r="L194" s="70"/>
      <c r="M194" s="84"/>
      <c r="P194" s="243"/>
      <c r="Q194" s="199"/>
    </row>
    <row r="195" spans="16:17" ht="12.75">
      <c r="P195" s="243"/>
      <c r="Q195" s="199"/>
    </row>
    <row r="196" spans="16:17" ht="12.75">
      <c r="P196" s="243"/>
      <c r="Q196" s="199"/>
    </row>
    <row r="197" spans="16:17" ht="12.75">
      <c r="P197" s="243"/>
      <c r="Q197" s="199"/>
    </row>
    <row r="198" spans="16:17" ht="12.75">
      <c r="P198" s="243"/>
      <c r="Q198" s="199"/>
    </row>
    <row r="199" spans="16:17" ht="12.75">
      <c r="P199" s="243"/>
      <c r="Q199" s="199"/>
    </row>
    <row r="200" spans="16:17" ht="12.75">
      <c r="P200" s="243"/>
      <c r="Q200" s="199"/>
    </row>
    <row r="201" spans="16:17" ht="12.75">
      <c r="P201" s="243"/>
      <c r="Q201" s="199"/>
    </row>
    <row r="202" spans="16:17" ht="12.75">
      <c r="P202" s="243"/>
      <c r="Q202" s="199"/>
    </row>
    <row r="203" spans="16:17" ht="12.75">
      <c r="P203" s="243"/>
      <c r="Q203" s="199"/>
    </row>
    <row r="204" spans="16:17" ht="12.75">
      <c r="P204" s="243"/>
      <c r="Q204" s="199"/>
    </row>
    <row r="205" spans="16:17" ht="12.75">
      <c r="P205" s="243"/>
      <c r="Q205" s="199"/>
    </row>
    <row r="206" spans="16:17" ht="12.75">
      <c r="P206" s="243"/>
      <c r="Q206" s="199"/>
    </row>
    <row r="207" spans="16:17" ht="12.75">
      <c r="P207" s="243"/>
      <c r="Q207" s="199"/>
    </row>
    <row r="208" spans="16:17" ht="12.75">
      <c r="P208" s="243"/>
      <c r="Q208" s="199"/>
    </row>
    <row r="209" spans="16:17" ht="12.75">
      <c r="P209" s="243"/>
      <c r="Q209" s="199"/>
    </row>
    <row r="210" spans="16:17" ht="12.75">
      <c r="P210" s="243"/>
      <c r="Q210" s="199"/>
    </row>
    <row r="211" spans="16:17" ht="12.75">
      <c r="P211" s="243"/>
      <c r="Q211" s="199"/>
    </row>
    <row r="212" spans="16:17" ht="12.75">
      <c r="P212" s="243"/>
      <c r="Q212" s="199"/>
    </row>
    <row r="213" spans="16:17" ht="12.75">
      <c r="P213" s="243"/>
      <c r="Q213" s="199"/>
    </row>
    <row r="214" spans="16:17" ht="12.75">
      <c r="P214" s="243"/>
      <c r="Q214" s="199"/>
    </row>
    <row r="215" spans="16:17" ht="12.75">
      <c r="P215" s="243"/>
      <c r="Q215" s="199"/>
    </row>
    <row r="216" spans="16:17" ht="12.75">
      <c r="P216" s="243"/>
      <c r="Q216" s="199"/>
    </row>
    <row r="217" spans="16:17" ht="12.75">
      <c r="P217" s="243"/>
      <c r="Q217" s="199"/>
    </row>
    <row r="218" spans="16:17" ht="12.75">
      <c r="P218" s="243"/>
      <c r="Q218" s="199"/>
    </row>
    <row r="219" spans="16:17" ht="12.75">
      <c r="P219" s="243"/>
      <c r="Q219" s="199"/>
    </row>
    <row r="220" spans="16:17" ht="12.75">
      <c r="P220" s="243"/>
      <c r="Q220" s="199"/>
    </row>
    <row r="221" spans="16:17" ht="12.75">
      <c r="P221" s="243"/>
      <c r="Q221" s="199"/>
    </row>
    <row r="222" spans="16:17" ht="12.75">
      <c r="P222" s="243"/>
      <c r="Q222" s="199"/>
    </row>
    <row r="223" spans="16:17" ht="12.75">
      <c r="P223" s="243"/>
      <c r="Q223" s="199"/>
    </row>
    <row r="224" spans="16:17" ht="12.75">
      <c r="P224" s="243"/>
      <c r="Q224" s="199"/>
    </row>
    <row r="225" spans="16:17" ht="12.75">
      <c r="P225" s="243"/>
      <c r="Q225" s="199"/>
    </row>
    <row r="226" spans="16:17" ht="12.75">
      <c r="P226" s="243"/>
      <c r="Q226" s="199"/>
    </row>
    <row r="227" spans="16:17" ht="12.75">
      <c r="P227" s="243"/>
      <c r="Q227" s="199"/>
    </row>
    <row r="228" spans="16:17" ht="12.75">
      <c r="P228" s="243"/>
      <c r="Q228" s="199"/>
    </row>
    <row r="229" spans="16:17" ht="12.75">
      <c r="P229" s="243"/>
      <c r="Q229" s="199"/>
    </row>
    <row r="230" spans="16:17" ht="12.75">
      <c r="P230" s="243"/>
      <c r="Q230" s="199"/>
    </row>
    <row r="231" spans="16:17" ht="12.75">
      <c r="P231" s="243"/>
      <c r="Q231" s="199"/>
    </row>
    <row r="232" spans="16:17" ht="12.75">
      <c r="P232" s="243"/>
      <c r="Q232" s="199"/>
    </row>
    <row r="233" spans="16:17" ht="12.75">
      <c r="P233" s="243"/>
      <c r="Q233" s="199"/>
    </row>
    <row r="234" spans="16:17" ht="12.75">
      <c r="P234" s="243"/>
      <c r="Q234" s="199"/>
    </row>
    <row r="235" spans="16:17" ht="12.75">
      <c r="P235" s="243"/>
      <c r="Q235" s="199"/>
    </row>
    <row r="236" spans="16:17" ht="12.75">
      <c r="P236" s="243"/>
      <c r="Q236" s="199"/>
    </row>
    <row r="237" spans="16:17" ht="12.75">
      <c r="P237" s="243"/>
      <c r="Q237" s="199"/>
    </row>
    <row r="238" spans="16:17" ht="12.75">
      <c r="P238" s="243"/>
      <c r="Q238" s="199"/>
    </row>
    <row r="239" spans="16:17" ht="12.75">
      <c r="P239" s="243"/>
      <c r="Q239" s="199"/>
    </row>
    <row r="240" spans="16:17" ht="12.75">
      <c r="P240" s="243"/>
      <c r="Q240" s="199"/>
    </row>
    <row r="241" spans="16:17" ht="12.75">
      <c r="P241" s="243"/>
      <c r="Q241" s="199"/>
    </row>
    <row r="242" spans="16:17" ht="12.75">
      <c r="P242" s="243"/>
      <c r="Q242" s="199"/>
    </row>
    <row r="243" spans="16:17" ht="12.75">
      <c r="P243" s="243"/>
      <c r="Q243" s="199"/>
    </row>
    <row r="244" spans="16:17" ht="12.75">
      <c r="P244" s="243"/>
      <c r="Q244" s="199"/>
    </row>
    <row r="245" spans="16:17" ht="12.75">
      <c r="P245" s="243"/>
      <c r="Q245" s="199"/>
    </row>
    <row r="246" spans="16:17" ht="12.75">
      <c r="P246" s="243"/>
      <c r="Q246" s="199"/>
    </row>
    <row r="247" spans="16:17" ht="12.75">
      <c r="P247" s="243"/>
      <c r="Q247" s="199"/>
    </row>
    <row r="248" spans="16:17" ht="12.75">
      <c r="P248" s="243"/>
      <c r="Q248" s="199"/>
    </row>
    <row r="249" spans="16:17" ht="12.75">
      <c r="P249" s="243"/>
      <c r="Q249" s="199"/>
    </row>
    <row r="250" spans="16:17" ht="12.75">
      <c r="P250" s="243"/>
      <c r="Q250" s="199"/>
    </row>
    <row r="251" spans="16:17" ht="12.75">
      <c r="P251" s="243"/>
      <c r="Q251" s="199"/>
    </row>
    <row r="252" spans="16:17" ht="12.75">
      <c r="P252" s="243"/>
      <c r="Q252" s="199"/>
    </row>
    <row r="253" spans="16:17" ht="12.75">
      <c r="P253" s="243"/>
      <c r="Q253" s="199"/>
    </row>
    <row r="254" spans="16:17" ht="12.75">
      <c r="P254" s="243"/>
      <c r="Q254" s="199"/>
    </row>
    <row r="255" spans="16:17" ht="12.75">
      <c r="P255" s="243"/>
      <c r="Q255" s="199"/>
    </row>
    <row r="256" spans="16:17" ht="12.75">
      <c r="P256" s="243"/>
      <c r="Q256" s="199"/>
    </row>
    <row r="257" spans="16:17" ht="12.75">
      <c r="P257" s="243"/>
      <c r="Q257" s="199"/>
    </row>
    <row r="258" spans="16:17" ht="12.75">
      <c r="P258" s="243"/>
      <c r="Q258" s="199"/>
    </row>
    <row r="259" spans="16:17" ht="12.75">
      <c r="P259" s="243"/>
      <c r="Q259" s="199"/>
    </row>
    <row r="260" spans="16:17" ht="12.75">
      <c r="P260" s="243"/>
      <c r="Q260" s="199"/>
    </row>
    <row r="261" spans="16:17" ht="12.75">
      <c r="P261" s="243"/>
      <c r="Q261" s="199"/>
    </row>
    <row r="262" spans="16:17" ht="12.75">
      <c r="P262" s="243"/>
      <c r="Q262" s="199"/>
    </row>
    <row r="263" spans="16:17" ht="12.75">
      <c r="P263" s="243"/>
      <c r="Q263" s="199"/>
    </row>
    <row r="264" spans="16:17" ht="12.75">
      <c r="P264" s="243"/>
      <c r="Q264" s="199"/>
    </row>
    <row r="265" spans="16:17" ht="12.75">
      <c r="P265" s="243"/>
      <c r="Q265" s="199"/>
    </row>
    <row r="266" spans="16:17" ht="12.75">
      <c r="P266" s="243"/>
      <c r="Q266" s="199"/>
    </row>
    <row r="267" spans="16:17" ht="12.75">
      <c r="P267" s="243"/>
      <c r="Q267" s="199"/>
    </row>
    <row r="268" spans="16:17" ht="12.75">
      <c r="P268" s="243"/>
      <c r="Q268" s="199"/>
    </row>
    <row r="269" spans="16:17" ht="12.75">
      <c r="P269" s="243"/>
      <c r="Q269" s="199"/>
    </row>
    <row r="270" spans="16:17" ht="12.75">
      <c r="P270" s="243"/>
      <c r="Q270" s="199"/>
    </row>
    <row r="271" spans="16:17" ht="12.75">
      <c r="P271" s="243"/>
      <c r="Q271" s="199"/>
    </row>
    <row r="272" spans="16:17" ht="12.75">
      <c r="P272" s="243"/>
      <c r="Q272" s="199"/>
    </row>
    <row r="273" spans="16:17" ht="12.75">
      <c r="P273" s="243"/>
      <c r="Q273" s="199"/>
    </row>
    <row r="274" spans="16:17" ht="12.75">
      <c r="P274" s="243"/>
      <c r="Q274" s="199"/>
    </row>
    <row r="275" spans="16:17" ht="12.75">
      <c r="P275" s="243"/>
      <c r="Q275" s="199"/>
    </row>
    <row r="276" spans="16:17" ht="12.75">
      <c r="P276" s="243"/>
      <c r="Q276" s="199"/>
    </row>
    <row r="277" spans="16:17" ht="12.75">
      <c r="P277" s="243"/>
      <c r="Q277" s="199"/>
    </row>
    <row r="278" spans="16:17" ht="12.75">
      <c r="P278" s="243"/>
      <c r="Q278" s="199"/>
    </row>
    <row r="279" spans="16:17" ht="12.75">
      <c r="P279" s="243"/>
      <c r="Q279" s="199"/>
    </row>
    <row r="280" spans="16:17" ht="12.75">
      <c r="P280" s="243"/>
      <c r="Q280" s="199"/>
    </row>
    <row r="281" spans="16:17" ht="12.75">
      <c r="P281" s="243"/>
      <c r="Q281" s="199"/>
    </row>
    <row r="282" spans="16:17" ht="12.75">
      <c r="P282" s="243"/>
      <c r="Q282" s="199"/>
    </row>
    <row r="283" spans="16:17" ht="12.75">
      <c r="P283" s="243"/>
      <c r="Q283" s="199"/>
    </row>
    <row r="284" spans="16:17" ht="12.75">
      <c r="P284" s="243"/>
      <c r="Q284" s="199"/>
    </row>
    <row r="285" spans="16:17" ht="12.75">
      <c r="P285" s="243"/>
      <c r="Q285" s="199"/>
    </row>
    <row r="286" spans="16:17" ht="12.75">
      <c r="P286" s="243"/>
      <c r="Q286" s="199"/>
    </row>
    <row r="287" spans="16:17" ht="12.75">
      <c r="P287" s="243"/>
      <c r="Q287" s="199"/>
    </row>
    <row r="288" spans="16:17" ht="12.75">
      <c r="P288" s="243"/>
      <c r="Q288" s="199"/>
    </row>
    <row r="289" spans="16:17" ht="12.75">
      <c r="P289" s="243"/>
      <c r="Q289" s="199"/>
    </row>
    <row r="290" spans="16:17" ht="12.75">
      <c r="P290" s="243"/>
      <c r="Q290" s="199"/>
    </row>
    <row r="291" spans="16:17" ht="12.75">
      <c r="P291" s="243"/>
      <c r="Q291" s="199"/>
    </row>
    <row r="292" spans="16:17" ht="12.75">
      <c r="P292" s="243"/>
      <c r="Q292" s="199"/>
    </row>
    <row r="293" spans="16:17" ht="12.75">
      <c r="P293" s="243"/>
      <c r="Q293" s="199"/>
    </row>
    <row r="294" spans="16:17" ht="12.75">
      <c r="P294" s="243"/>
      <c r="Q294" s="199"/>
    </row>
    <row r="295" spans="16:17" ht="12.75">
      <c r="P295" s="243"/>
      <c r="Q295" s="199"/>
    </row>
    <row r="296" spans="16:17" ht="12.75">
      <c r="P296" s="243"/>
      <c r="Q296" s="199"/>
    </row>
    <row r="297" spans="16:17" ht="12.75">
      <c r="P297" s="243"/>
      <c r="Q297" s="199"/>
    </row>
    <row r="298" spans="16:17" ht="12.75">
      <c r="P298" s="243"/>
      <c r="Q298" s="199"/>
    </row>
    <row r="299" spans="16:17" ht="12.75">
      <c r="P299" s="243"/>
      <c r="Q299" s="199"/>
    </row>
    <row r="300" spans="16:17" ht="12.75">
      <c r="P300" s="243"/>
      <c r="Q300" s="199"/>
    </row>
    <row r="301" spans="16:17" ht="12.75">
      <c r="P301" s="243"/>
      <c r="Q301" s="199"/>
    </row>
    <row r="302" spans="16:17" ht="12.75">
      <c r="P302" s="243"/>
      <c r="Q302" s="199"/>
    </row>
    <row r="303" spans="16:17" ht="12.75">
      <c r="P303" s="243"/>
      <c r="Q303" s="199"/>
    </row>
  </sheetData>
  <conditionalFormatting sqref="P2:Q194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480314960629921" right="0.7480314960629921" top="0.84" bottom="0.7" header="0.5118110236220472" footer="0.5118110236220472"/>
  <pageSetup horizontalDpi="300" verticalDpi="300" orientation="landscape" paperSize="9" r:id="rId3"/>
  <headerFooter alignWithMargins="0">
    <oddHeader>&amp;C&amp;"Arial,Bold"&amp;12Roborough Investment Club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6"/>
  <sheetViews>
    <sheetView zoomScale="90" zoomScaleNormal="90" workbookViewId="0" topLeftCell="A1">
      <selection activeCell="A1" sqref="A1"/>
    </sheetView>
  </sheetViews>
  <sheetFormatPr defaultColWidth="9.140625" defaultRowHeight="12.75" outlineLevelRow="1"/>
  <cols>
    <col min="1" max="1" width="18.140625" style="0" customWidth="1"/>
    <col min="2" max="2" width="7.421875" style="0" customWidth="1"/>
    <col min="3" max="3" width="8.57421875" style="2" customWidth="1"/>
    <col min="4" max="4" width="9.28125" style="0" bestFit="1" customWidth="1"/>
    <col min="5" max="5" width="7.8515625" style="2" customWidth="1"/>
    <col min="6" max="6" width="11.00390625" style="2" customWidth="1"/>
    <col min="7" max="7" width="11.421875" style="0" customWidth="1"/>
    <col min="8" max="8" width="12.7109375" style="39" customWidth="1"/>
    <col min="9" max="9" width="10.00390625" style="0" bestFit="1" customWidth="1"/>
  </cols>
  <sheetData>
    <row r="1" ht="12.75">
      <c r="A1" s="4" t="s">
        <v>201</v>
      </c>
    </row>
    <row r="2" spans="1:8" ht="25.5" hidden="1" outlineLevel="1">
      <c r="A2" s="1" t="s">
        <v>24</v>
      </c>
      <c r="B2" s="1" t="s">
        <v>26</v>
      </c>
      <c r="C2" s="3" t="s">
        <v>27</v>
      </c>
      <c r="D2" s="1" t="s">
        <v>25</v>
      </c>
      <c r="E2" s="3" t="s">
        <v>28</v>
      </c>
      <c r="F2" s="3" t="s">
        <v>29</v>
      </c>
      <c r="G2" s="1" t="s">
        <v>30</v>
      </c>
      <c r="H2" s="40" t="s">
        <v>31</v>
      </c>
    </row>
    <row r="3" spans="1:8" ht="12.75" hidden="1" outlineLevel="1">
      <c r="A3" t="s">
        <v>48</v>
      </c>
      <c r="B3" s="1">
        <v>242</v>
      </c>
      <c r="C3" s="3">
        <f aca="true" t="shared" si="0" ref="C3:C12">D3/B3*100</f>
        <v>212.9917355371901</v>
      </c>
      <c r="D3" s="3">
        <v>515.44</v>
      </c>
      <c r="E3" s="83">
        <v>6</v>
      </c>
      <c r="F3" s="2">
        <f>ROUND(B3*E3/100,2)-12</f>
        <v>2.5199999999999996</v>
      </c>
      <c r="G3" s="2">
        <f aca="true" t="shared" si="1" ref="G3:G14">F3-D3</f>
        <v>-512.9200000000001</v>
      </c>
      <c r="H3" s="40">
        <f>F3-2.52</f>
        <v>0</v>
      </c>
    </row>
    <row r="4" spans="1:8" ht="12.75" hidden="1" outlineLevel="1">
      <c r="A4" s="92" t="s">
        <v>32</v>
      </c>
      <c r="B4" s="92">
        <v>1747</v>
      </c>
      <c r="C4" s="3">
        <f t="shared" si="0"/>
        <v>57.2123640526617</v>
      </c>
      <c r="D4" s="93">
        <v>999.5</v>
      </c>
      <c r="E4" s="83">
        <v>50.5</v>
      </c>
      <c r="F4" s="2">
        <f>ROUND(B4*E4/100,2)-7.5</f>
        <v>874.74</v>
      </c>
      <c r="G4" s="83">
        <f>F4-D4</f>
        <v>-124.75999999999999</v>
      </c>
      <c r="H4" s="158">
        <f>0</f>
        <v>0</v>
      </c>
    </row>
    <row r="5" spans="1:8" ht="12.75" hidden="1" outlineLevel="1">
      <c r="A5" s="92" t="s">
        <v>174</v>
      </c>
      <c r="B5" s="92">
        <v>4304</v>
      </c>
      <c r="C5" s="3">
        <f t="shared" si="0"/>
        <v>23.23396840148699</v>
      </c>
      <c r="D5" s="93">
        <v>999.99</v>
      </c>
      <c r="E5" s="83">
        <v>22.5</v>
      </c>
      <c r="F5" s="2">
        <f>ROUND(B5*E5/100,2)-7.5</f>
        <v>960.9</v>
      </c>
      <c r="G5" s="83">
        <f t="shared" si="1"/>
        <v>-39.09000000000003</v>
      </c>
      <c r="H5" s="158">
        <f>F5-831.78</f>
        <v>129.12</v>
      </c>
    </row>
    <row r="6" spans="1:8" ht="12.75" hidden="1" outlineLevel="1">
      <c r="A6" s="92" t="s">
        <v>118</v>
      </c>
      <c r="B6" s="92">
        <v>255</v>
      </c>
      <c r="C6" s="3">
        <f t="shared" si="0"/>
        <v>398.29411764705884</v>
      </c>
      <c r="D6" s="93">
        <v>1015.65</v>
      </c>
      <c r="E6" s="83">
        <v>401</v>
      </c>
      <c r="F6" s="2">
        <f>ROUND(B6*E6/100,2)-12</f>
        <v>1010.55</v>
      </c>
      <c r="G6" s="83">
        <f>F6-D6</f>
        <v>-5.100000000000023</v>
      </c>
      <c r="H6" s="158">
        <f>F6-972.3</f>
        <v>38.25</v>
      </c>
    </row>
    <row r="7" spans="1:8" ht="12.75" hidden="1" outlineLevel="1">
      <c r="A7" s="92" t="s">
        <v>185</v>
      </c>
      <c r="B7" s="92">
        <v>85</v>
      </c>
      <c r="C7" s="3">
        <f t="shared" si="0"/>
        <v>1176.3882352941175</v>
      </c>
      <c r="D7" s="93">
        <v>999.93</v>
      </c>
      <c r="E7" s="83">
        <v>958</v>
      </c>
      <c r="F7" s="2">
        <f>ROUND(B7*E7/100,2)-7.5</f>
        <v>806.8</v>
      </c>
      <c r="G7" s="83">
        <f>F7-D7</f>
        <v>-193.13</v>
      </c>
      <c r="H7" s="158">
        <f>F7-1007.4</f>
        <v>-200.60000000000002</v>
      </c>
    </row>
    <row r="8" spans="1:8" ht="12.75" hidden="1" outlineLevel="1">
      <c r="A8" s="92" t="s">
        <v>152</v>
      </c>
      <c r="B8" s="92">
        <v>2000</v>
      </c>
      <c r="C8" s="3">
        <f t="shared" si="0"/>
        <v>7.520499999999999</v>
      </c>
      <c r="D8" s="93">
        <v>150.41</v>
      </c>
      <c r="E8" s="83">
        <v>9.8</v>
      </c>
      <c r="F8" s="2">
        <f>ROUND(B8*E8/100,2)-7.5</f>
        <v>188.5</v>
      </c>
      <c r="G8" s="83">
        <f>F8-D8</f>
        <v>38.09</v>
      </c>
      <c r="H8" s="158">
        <f>0</f>
        <v>0</v>
      </c>
    </row>
    <row r="9" spans="1:8" ht="12.75" hidden="1" outlineLevel="1">
      <c r="A9" s="83" t="s">
        <v>178</v>
      </c>
      <c r="B9" s="92">
        <v>561</v>
      </c>
      <c r="C9" s="3">
        <f t="shared" si="0"/>
        <v>177.2121212121212</v>
      </c>
      <c r="D9" s="93">
        <v>994.16</v>
      </c>
      <c r="E9" s="83">
        <v>188.5</v>
      </c>
      <c r="F9" s="2">
        <f>ROUND(B9*E9/100,2)-7.5</f>
        <v>1049.99</v>
      </c>
      <c r="G9" s="83">
        <f>F9-D9</f>
        <v>55.83000000000004</v>
      </c>
      <c r="H9" s="158">
        <f>F9-1013.52</f>
        <v>36.47000000000003</v>
      </c>
    </row>
    <row r="10" spans="1:8" ht="12.75" hidden="1" outlineLevel="1">
      <c r="A10" s="92" t="s">
        <v>193</v>
      </c>
      <c r="B10" s="92">
        <v>202</v>
      </c>
      <c r="C10" s="93">
        <f>D10/B10*100</f>
        <v>492.8762376237624</v>
      </c>
      <c r="D10" s="93">
        <v>995.61</v>
      </c>
      <c r="E10" s="83">
        <v>499.5</v>
      </c>
      <c r="F10" s="83">
        <f>ROUND(B10*E10/100,2)-7.5</f>
        <v>1001.49</v>
      </c>
      <c r="G10" s="83">
        <f>F10-D10</f>
        <v>5.8799999999999955</v>
      </c>
      <c r="H10" s="158">
        <v>0</v>
      </c>
    </row>
    <row r="11" spans="1:8" ht="12.75" hidden="1" outlineLevel="1">
      <c r="A11" s="92" t="s">
        <v>151</v>
      </c>
      <c r="B11" s="92">
        <v>280</v>
      </c>
      <c r="C11" s="93">
        <f t="shared" si="0"/>
        <v>363.54285714285714</v>
      </c>
      <c r="D11" s="93">
        <v>1017.92</v>
      </c>
      <c r="E11" s="83">
        <v>302</v>
      </c>
      <c r="F11" s="83">
        <f>ROUND(B11*E11/100,2)-12</f>
        <v>833.6</v>
      </c>
      <c r="G11" s="83">
        <f t="shared" si="1"/>
        <v>-184.31999999999994</v>
      </c>
      <c r="H11" s="158">
        <f>F11-811.9</f>
        <v>21.700000000000045</v>
      </c>
    </row>
    <row r="12" spans="1:8" ht="12.75" hidden="1" outlineLevel="1">
      <c r="A12" s="92" t="s">
        <v>184</v>
      </c>
      <c r="B12" s="92">
        <v>755</v>
      </c>
      <c r="C12" s="3">
        <f t="shared" si="0"/>
        <v>132.54834437086095</v>
      </c>
      <c r="D12" s="93">
        <v>1000.74</v>
      </c>
      <c r="E12" s="83">
        <v>124.5</v>
      </c>
      <c r="F12" s="2">
        <f>ROUND(B12*E12/100,2)-7.5</f>
        <v>932.48</v>
      </c>
      <c r="G12" s="83">
        <f t="shared" si="1"/>
        <v>-68.25999999999999</v>
      </c>
      <c r="H12" s="158">
        <f>F12-909.83</f>
        <v>22.649999999999977</v>
      </c>
    </row>
    <row r="13" spans="1:8" ht="12.75" hidden="1" outlineLevel="1">
      <c r="A13" s="1" t="s">
        <v>111</v>
      </c>
      <c r="B13" s="1">
        <v>28</v>
      </c>
      <c r="C13" s="3">
        <v>0</v>
      </c>
      <c r="D13" s="3">
        <v>0</v>
      </c>
      <c r="E13" s="83">
        <v>92</v>
      </c>
      <c r="F13" s="2">
        <f>ROUND(B13*E13/100,2)-12</f>
        <v>13.760000000000002</v>
      </c>
      <c r="G13" s="83">
        <f t="shared" si="1"/>
        <v>13.760000000000002</v>
      </c>
      <c r="H13" s="158">
        <f>F13-12.36</f>
        <v>1.4000000000000021</v>
      </c>
    </row>
    <row r="14" spans="1:8" ht="12.75" hidden="1" outlineLevel="1">
      <c r="A14" t="s">
        <v>61</v>
      </c>
      <c r="B14" s="1">
        <v>2</v>
      </c>
      <c r="C14" s="3">
        <f>D14/B14*100</f>
        <v>258.5</v>
      </c>
      <c r="D14" s="3">
        <v>5.17</v>
      </c>
      <c r="E14" s="83">
        <v>263</v>
      </c>
      <c r="F14" s="2">
        <f>ROUND(B14*E14/100,2)-12</f>
        <v>-6.74</v>
      </c>
      <c r="G14" s="83">
        <f t="shared" si="1"/>
        <v>-11.91</v>
      </c>
      <c r="H14" s="158">
        <f>F14-4.75</f>
        <v>-11.49</v>
      </c>
    </row>
    <row r="15" spans="1:8" ht="12.75" hidden="1" outlineLevel="1">
      <c r="A15" t="s">
        <v>94</v>
      </c>
      <c r="B15" s="1">
        <v>364</v>
      </c>
      <c r="C15" s="3">
        <f>D15/B15*100</f>
        <v>279.6730769230769</v>
      </c>
      <c r="D15" s="208">
        <v>1018.01</v>
      </c>
      <c r="E15" s="221">
        <v>230</v>
      </c>
      <c r="F15" s="220">
        <f>ROUND(B15*E15/100,2)-12</f>
        <v>825.2</v>
      </c>
      <c r="G15" s="221">
        <f>F15-D15</f>
        <v>-192.80999999999995</v>
      </c>
      <c r="H15" s="239">
        <f>F15-734.2</f>
        <v>91</v>
      </c>
    </row>
    <row r="16" spans="3:8" ht="13.5" hidden="1" outlineLevel="1" thickBot="1">
      <c r="C16" s="8"/>
      <c r="D16" s="6">
        <f>SUM(D3:D15)</f>
        <v>9712.53</v>
      </c>
      <c r="E16" s="6"/>
      <c r="F16" s="6">
        <f>SUM(F3:F15)</f>
        <v>8493.79</v>
      </c>
      <c r="G16" s="6">
        <f>SUM(G3:G15)</f>
        <v>-1218.74</v>
      </c>
      <c r="H16" s="6">
        <f>SUM(H3:H15)</f>
        <v>128.50000000000003</v>
      </c>
    </row>
    <row r="17" ht="13.5" hidden="1" outlineLevel="1" thickTop="1"/>
    <row r="18" spans="1:6" ht="12.75" hidden="1" outlineLevel="1">
      <c r="A18" t="s">
        <v>33</v>
      </c>
      <c r="F18" s="2">
        <f>F16</f>
        <v>8493.79</v>
      </c>
    </row>
    <row r="19" spans="2:6" ht="12.75" hidden="1" outlineLevel="1">
      <c r="B19" t="s">
        <v>34</v>
      </c>
      <c r="F19" s="2">
        <f>Cash!N10</f>
        <v>0</v>
      </c>
    </row>
    <row r="20" spans="2:6" ht="12.75" hidden="1" outlineLevel="1">
      <c r="B20" t="s">
        <v>39</v>
      </c>
      <c r="F20" s="2">
        <f>Cash!N11</f>
        <v>48.25999999999999</v>
      </c>
    </row>
    <row r="21" spans="2:9" ht="12.75" hidden="1" outlineLevel="1">
      <c r="B21" t="s">
        <v>171</v>
      </c>
      <c r="F21" s="2">
        <f>Cash!N12</f>
        <v>2332.08</v>
      </c>
      <c r="H21" s="45" t="s">
        <v>40</v>
      </c>
      <c r="I21" s="12"/>
    </row>
    <row r="22" spans="6:9" ht="12.75" hidden="1" outlineLevel="1">
      <c r="F22" s="2">
        <f>SUM(F18:F21)</f>
        <v>10874.130000000001</v>
      </c>
      <c r="H22" s="41"/>
      <c r="I22" s="14"/>
    </row>
    <row r="23" spans="8:9" ht="12.75" hidden="1" outlineLevel="1">
      <c r="H23" s="41" t="s">
        <v>41</v>
      </c>
      <c r="I23" s="20">
        <f>F28</f>
        <v>10874.130000000001</v>
      </c>
    </row>
    <row r="24" spans="1:9" ht="12.75" hidden="1" outlineLevel="1">
      <c r="A24" t="s">
        <v>36</v>
      </c>
      <c r="B24" t="s">
        <v>98</v>
      </c>
      <c r="E24" s="2">
        <v>0</v>
      </c>
      <c r="H24" s="41" t="s">
        <v>195</v>
      </c>
      <c r="I24" s="38">
        <f>Units!J17</f>
        <v>9361</v>
      </c>
    </row>
    <row r="25" spans="2:9" ht="12.75" hidden="1" outlineLevel="1">
      <c r="B25" t="s">
        <v>91</v>
      </c>
      <c r="E25" s="2">
        <v>0</v>
      </c>
      <c r="H25" s="42" t="s">
        <v>121</v>
      </c>
      <c r="I25" s="16">
        <f>ROUND(I23/I24,2)*100</f>
        <v>115.99999999999999</v>
      </c>
    </row>
    <row r="26" spans="2:8" ht="12.75" hidden="1" outlineLevel="1">
      <c r="B26" t="s">
        <v>37</v>
      </c>
      <c r="E26" s="2">
        <v>0</v>
      </c>
      <c r="H26" s="47"/>
    </row>
    <row r="27" ht="12.75" hidden="1" outlineLevel="1">
      <c r="F27" s="2">
        <f>SUM(E24:E26)</f>
        <v>0</v>
      </c>
    </row>
    <row r="28" spans="1:6" ht="12.75" collapsed="1">
      <c r="A28" t="s">
        <v>38</v>
      </c>
      <c r="F28" s="240">
        <f>F22-F27</f>
        <v>10874.130000000001</v>
      </c>
    </row>
    <row r="30" ht="12.75">
      <c r="A30" s="4" t="s">
        <v>202</v>
      </c>
    </row>
    <row r="31" spans="1:9" ht="25.5" hidden="1" outlineLevel="1">
      <c r="A31" s="1" t="s">
        <v>24</v>
      </c>
      <c r="B31" s="1" t="s">
        <v>26</v>
      </c>
      <c r="C31" s="3" t="s">
        <v>27</v>
      </c>
      <c r="D31" s="1" t="s">
        <v>25</v>
      </c>
      <c r="E31" s="3" t="s">
        <v>28</v>
      </c>
      <c r="F31" s="3" t="s">
        <v>29</v>
      </c>
      <c r="G31" s="1" t="s">
        <v>30</v>
      </c>
      <c r="H31" s="40" t="s">
        <v>31</v>
      </c>
      <c r="I31" s="122" t="s">
        <v>257</v>
      </c>
    </row>
    <row r="32" spans="1:9" ht="12.75" hidden="1" outlineLevel="1">
      <c r="A32" s="92" t="s">
        <v>32</v>
      </c>
      <c r="B32" s="92">
        <v>1747</v>
      </c>
      <c r="C32" s="3">
        <f aca="true" t="shared" si="2" ref="C32:C39">D32/B32*100</f>
        <v>57.2123640526617</v>
      </c>
      <c r="D32" s="93">
        <v>999.5</v>
      </c>
      <c r="E32" s="83">
        <v>44</v>
      </c>
      <c r="F32" s="2">
        <f>ROUND(B32*E32/100,2)-7.5</f>
        <v>761.18</v>
      </c>
      <c r="G32" s="83">
        <f aca="true" t="shared" si="3" ref="G32:G43">F32-D32</f>
        <v>-238.32000000000005</v>
      </c>
      <c r="H32" s="40">
        <f>F32-F4</f>
        <v>-113.56000000000006</v>
      </c>
      <c r="I32" s="129">
        <f>(1-F4/F32)*100</f>
        <v>-14.91894164323815</v>
      </c>
    </row>
    <row r="33" spans="1:9" ht="12.75" hidden="1" outlineLevel="1">
      <c r="A33" s="92" t="s">
        <v>174</v>
      </c>
      <c r="B33" s="92">
        <v>4304</v>
      </c>
      <c r="C33" s="3">
        <f t="shared" si="2"/>
        <v>23.23396840148699</v>
      </c>
      <c r="D33" s="93">
        <v>999.99</v>
      </c>
      <c r="E33" s="83">
        <v>8</v>
      </c>
      <c r="F33" s="2">
        <f>ROUND(B33*E33/100,2)-7.5</f>
        <v>336.82</v>
      </c>
      <c r="G33" s="83">
        <f t="shared" si="3"/>
        <v>-663.1700000000001</v>
      </c>
      <c r="H33" s="40">
        <f>F33-F5</f>
        <v>-624.0799999999999</v>
      </c>
      <c r="I33" s="129"/>
    </row>
    <row r="34" spans="1:9" ht="12.75" hidden="1" outlineLevel="1">
      <c r="A34" t="s">
        <v>203</v>
      </c>
      <c r="B34" s="1">
        <v>242</v>
      </c>
      <c r="C34" s="3">
        <f t="shared" si="2"/>
        <v>212.9917355371901</v>
      </c>
      <c r="D34" s="3">
        <v>515.44</v>
      </c>
      <c r="E34" s="83">
        <v>8.5</v>
      </c>
      <c r="F34" s="2">
        <f>ROUND(B34*E34/100,2)-12</f>
        <v>8.57</v>
      </c>
      <c r="G34" s="2">
        <f t="shared" si="3"/>
        <v>-506.87000000000006</v>
      </c>
      <c r="H34" s="40">
        <f>F34-F3</f>
        <v>6.050000000000001</v>
      </c>
      <c r="I34" s="129">
        <f>(1-F3/F34)*100</f>
        <v>70.5950991831972</v>
      </c>
    </row>
    <row r="35" spans="1:9" ht="12.75" hidden="1" outlineLevel="1">
      <c r="A35" s="92" t="s">
        <v>118</v>
      </c>
      <c r="B35" s="92">
        <v>255</v>
      </c>
      <c r="C35" s="3">
        <f t="shared" si="2"/>
        <v>398.29411764705884</v>
      </c>
      <c r="D35" s="93">
        <v>1015.65</v>
      </c>
      <c r="E35" s="83">
        <v>412.25</v>
      </c>
      <c r="F35" s="2">
        <f>ROUND(B35*E35/100,2)-12</f>
        <v>1039.24</v>
      </c>
      <c r="G35" s="83">
        <f t="shared" si="3"/>
        <v>23.590000000000032</v>
      </c>
      <c r="H35" s="40">
        <f>F35-F6</f>
        <v>28.690000000000055</v>
      </c>
      <c r="I35" s="129">
        <f>(1-F6/F35)*100</f>
        <v>2.760671259766756</v>
      </c>
    </row>
    <row r="36" spans="1:9" ht="12.75" hidden="1" outlineLevel="1">
      <c r="A36" s="83" t="s">
        <v>178</v>
      </c>
      <c r="B36" s="92">
        <v>561</v>
      </c>
      <c r="C36" s="3">
        <f t="shared" si="2"/>
        <v>177.2121212121212</v>
      </c>
      <c r="D36" s="93">
        <v>994.16</v>
      </c>
      <c r="E36" s="83">
        <v>193</v>
      </c>
      <c r="F36" s="2">
        <f>ROUND(B36*E36/100,2)-7.5</f>
        <v>1075.23</v>
      </c>
      <c r="G36" s="83">
        <f t="shared" si="3"/>
        <v>81.07000000000005</v>
      </c>
      <c r="H36" s="40">
        <f aca="true" t="shared" si="4" ref="H36:H41">F36-F9</f>
        <v>25.24000000000001</v>
      </c>
      <c r="I36" s="129">
        <f aca="true" t="shared" si="5" ref="I36:I41">(1-F9/F36)*100</f>
        <v>2.3474047413111654</v>
      </c>
    </row>
    <row r="37" spans="1:9" ht="12.75" hidden="1" outlineLevel="1">
      <c r="A37" s="92" t="s">
        <v>193</v>
      </c>
      <c r="B37" s="92">
        <v>202</v>
      </c>
      <c r="C37" s="93">
        <f t="shared" si="2"/>
        <v>492.8762376237624</v>
      </c>
      <c r="D37" s="93">
        <v>995.61</v>
      </c>
      <c r="E37" s="83">
        <v>466.5</v>
      </c>
      <c r="F37" s="83">
        <f>ROUND(B37*E37/100,2)-7.5</f>
        <v>934.83</v>
      </c>
      <c r="G37" s="83">
        <f t="shared" si="3"/>
        <v>-60.77999999999997</v>
      </c>
      <c r="H37" s="40">
        <f t="shared" si="4"/>
        <v>-66.65999999999997</v>
      </c>
      <c r="I37" s="129">
        <f t="shared" si="5"/>
        <v>-7.130708257116258</v>
      </c>
    </row>
    <row r="38" spans="1:9" ht="12.75" hidden="1" outlineLevel="1">
      <c r="A38" s="92" t="s">
        <v>151</v>
      </c>
      <c r="B38" s="92">
        <v>280</v>
      </c>
      <c r="C38" s="93">
        <f t="shared" si="2"/>
        <v>363.54285714285714</v>
      </c>
      <c r="D38" s="93">
        <v>1017.92</v>
      </c>
      <c r="E38" s="83">
        <v>292.75</v>
      </c>
      <c r="F38" s="83">
        <f>ROUND(B38*E38/100,2)-12</f>
        <v>807.7</v>
      </c>
      <c r="G38" s="83">
        <f t="shared" si="3"/>
        <v>-210.2199999999999</v>
      </c>
      <c r="H38" s="40">
        <f t="shared" si="4"/>
        <v>-25.899999999999977</v>
      </c>
      <c r="I38" s="129">
        <f t="shared" si="5"/>
        <v>-3.2066361272749644</v>
      </c>
    </row>
    <row r="39" spans="1:9" ht="12.75" hidden="1" outlineLevel="1">
      <c r="A39" s="92" t="s">
        <v>184</v>
      </c>
      <c r="B39" s="92">
        <v>755</v>
      </c>
      <c r="C39" s="3">
        <f t="shared" si="2"/>
        <v>132.54834437086095</v>
      </c>
      <c r="D39" s="93">
        <v>1000.74</v>
      </c>
      <c r="E39" s="83">
        <v>130</v>
      </c>
      <c r="F39" s="2">
        <f>ROUND(B39*E39/100,2)-7.5</f>
        <v>974</v>
      </c>
      <c r="G39" s="83">
        <f t="shared" si="3"/>
        <v>-26.74000000000001</v>
      </c>
      <c r="H39" s="40">
        <f t="shared" si="4"/>
        <v>41.51999999999998</v>
      </c>
      <c r="I39" s="129">
        <f t="shared" si="5"/>
        <v>4.262833675564681</v>
      </c>
    </row>
    <row r="40" spans="1:9" ht="12.75" hidden="1" outlineLevel="1">
      <c r="A40" s="1" t="s">
        <v>111</v>
      </c>
      <c r="B40" s="1">
        <v>28</v>
      </c>
      <c r="C40" s="3">
        <v>0</v>
      </c>
      <c r="D40" s="3">
        <v>0</v>
      </c>
      <c r="E40" s="83">
        <v>75</v>
      </c>
      <c r="F40" s="2">
        <f>ROUND(B40*E40/100,2)-12</f>
        <v>9</v>
      </c>
      <c r="G40" s="83">
        <f t="shared" si="3"/>
        <v>9</v>
      </c>
      <c r="H40" s="40">
        <f t="shared" si="4"/>
        <v>-4.760000000000002</v>
      </c>
      <c r="I40" s="129">
        <f t="shared" si="5"/>
        <v>-52.8888888888889</v>
      </c>
    </row>
    <row r="41" spans="1:9" ht="12.75" hidden="1" outlineLevel="1">
      <c r="A41" t="s">
        <v>61</v>
      </c>
      <c r="B41" s="1">
        <v>2</v>
      </c>
      <c r="C41" s="3">
        <f>D41/B41*100</f>
        <v>258.5</v>
      </c>
      <c r="D41" s="3">
        <v>5.17</v>
      </c>
      <c r="E41" s="83">
        <v>257</v>
      </c>
      <c r="F41" s="2">
        <f>ROUND(B41*E41/100,2)-12</f>
        <v>-6.86</v>
      </c>
      <c r="G41" s="83">
        <f t="shared" si="3"/>
        <v>-12.030000000000001</v>
      </c>
      <c r="H41" s="40">
        <f t="shared" si="4"/>
        <v>-0.1200000000000001</v>
      </c>
      <c r="I41" s="129">
        <f t="shared" si="5"/>
        <v>1.7492711370262426</v>
      </c>
    </row>
    <row r="42" spans="1:9" ht="12.75" hidden="1" outlineLevel="1">
      <c r="A42" s="92" t="s">
        <v>209</v>
      </c>
      <c r="B42" s="92">
        <v>4304</v>
      </c>
      <c r="C42" s="3">
        <v>0</v>
      </c>
      <c r="D42" s="93">
        <v>0</v>
      </c>
      <c r="E42" s="83">
        <v>11</v>
      </c>
      <c r="F42" s="2">
        <f>ROUND(B42*E42/100,2)-7.5</f>
        <v>465.94</v>
      </c>
      <c r="G42" s="83">
        <f>F42-D42</f>
        <v>465.94</v>
      </c>
      <c r="H42" s="40">
        <f>F42</f>
        <v>465.94</v>
      </c>
      <c r="I42" s="129"/>
    </row>
    <row r="43" spans="1:9" ht="12.75" hidden="1" outlineLevel="1">
      <c r="A43" t="s">
        <v>94</v>
      </c>
      <c r="B43" s="1">
        <v>364</v>
      </c>
      <c r="C43" s="3">
        <f>D43/B43*100</f>
        <v>279.6730769230769</v>
      </c>
      <c r="D43" s="208">
        <v>1018.01</v>
      </c>
      <c r="E43" s="221">
        <v>200</v>
      </c>
      <c r="F43" s="220">
        <f>ROUND(B43*E43/100,2)-12</f>
        <v>716</v>
      </c>
      <c r="G43" s="221">
        <f t="shared" si="3"/>
        <v>-302.01</v>
      </c>
      <c r="H43" s="242">
        <f>F43-F15</f>
        <v>-109.20000000000005</v>
      </c>
      <c r="I43" s="129">
        <f>(1-F15/F43)*100</f>
        <v>-15.25139664804469</v>
      </c>
    </row>
    <row r="44" spans="3:9" ht="13.5" hidden="1" outlineLevel="1" thickBot="1">
      <c r="C44" s="8"/>
      <c r="D44" s="33">
        <f>SUM(D32:D43)</f>
        <v>8562.19</v>
      </c>
      <c r="E44" s="33"/>
      <c r="F44" s="33">
        <f>SUM(F32:F43)</f>
        <v>7121.65</v>
      </c>
      <c r="G44" s="33">
        <f>SUM(G32:G43)</f>
        <v>-1440.5399999999997</v>
      </c>
      <c r="H44" s="33">
        <f>SUM(H32:H43)</f>
        <v>-376.84</v>
      </c>
      <c r="I44" s="138">
        <f>(1-F16/F44)*100</f>
        <v>-19.26716421054111</v>
      </c>
    </row>
    <row r="45" ht="13.5" hidden="1" outlineLevel="1" thickTop="1"/>
    <row r="46" spans="1:6" ht="12.75" hidden="1" outlineLevel="1">
      <c r="A46" t="s">
        <v>33</v>
      </c>
      <c r="F46" s="2">
        <f>F44</f>
        <v>7121.65</v>
      </c>
    </row>
    <row r="47" spans="2:6" ht="12.75" hidden="1" outlineLevel="1">
      <c r="B47" t="s">
        <v>34</v>
      </c>
      <c r="F47" s="2">
        <f>Cash!N31</f>
        <v>0.029999999999972715</v>
      </c>
    </row>
    <row r="48" spans="2:6" ht="12.75" hidden="1" outlineLevel="1">
      <c r="B48" t="s">
        <v>39</v>
      </c>
      <c r="F48" s="2">
        <f>Cash!N32</f>
        <v>68.41999999999999</v>
      </c>
    </row>
    <row r="49" spans="2:9" ht="12.75" hidden="1" outlineLevel="1">
      <c r="B49" t="s">
        <v>171</v>
      </c>
      <c r="F49" s="2">
        <f>Cash!N33</f>
        <v>3834.8299999999995</v>
      </c>
      <c r="H49" s="45" t="s">
        <v>40</v>
      </c>
      <c r="I49" s="12"/>
    </row>
    <row r="50" spans="6:9" ht="12.75" hidden="1" outlineLevel="1">
      <c r="F50" s="2">
        <f>SUM(F46:F49)</f>
        <v>11024.929999999998</v>
      </c>
      <c r="H50" s="41"/>
      <c r="I50" s="14"/>
    </row>
    <row r="51" spans="1:9" ht="12.75" hidden="1" outlineLevel="1">
      <c r="A51" t="s">
        <v>36</v>
      </c>
      <c r="B51" t="s">
        <v>98</v>
      </c>
      <c r="E51" s="2">
        <v>0</v>
      </c>
      <c r="H51" s="41" t="s">
        <v>41</v>
      </c>
      <c r="I51" s="20">
        <f>F56</f>
        <v>11024.929999999998</v>
      </c>
    </row>
    <row r="52" spans="2:9" ht="12.75" hidden="1" outlineLevel="1">
      <c r="B52" t="s">
        <v>91</v>
      </c>
      <c r="E52" s="2">
        <v>0</v>
      </c>
      <c r="H52" s="41" t="s">
        <v>195</v>
      </c>
      <c r="I52" s="38">
        <f>Units!J33</f>
        <v>9724</v>
      </c>
    </row>
    <row r="53" spans="2:9" ht="12.75" hidden="1" outlineLevel="1">
      <c r="B53" t="s">
        <v>37</v>
      </c>
      <c r="E53" s="2">
        <v>0</v>
      </c>
      <c r="H53" s="42" t="s">
        <v>121</v>
      </c>
      <c r="I53" s="16">
        <f>ROUND(I51/I52,2)*100</f>
        <v>112.99999999999999</v>
      </c>
    </row>
    <row r="54" ht="12.75" hidden="1" outlineLevel="1"/>
    <row r="55" ht="12.75" hidden="1" outlineLevel="1">
      <c r="F55" s="2">
        <f>SUM(E51:E53)</f>
        <v>0</v>
      </c>
    </row>
    <row r="56" spans="1:6" ht="12.75" collapsed="1">
      <c r="A56" t="s">
        <v>38</v>
      </c>
      <c r="F56" s="240">
        <f>F50-F55</f>
        <v>11024.929999999998</v>
      </c>
    </row>
    <row r="58" ht="12.75">
      <c r="A58" s="4" t="s">
        <v>213</v>
      </c>
    </row>
    <row r="59" spans="1:9" ht="25.5" hidden="1" outlineLevel="1">
      <c r="A59" s="1" t="s">
        <v>24</v>
      </c>
      <c r="B59" s="1" t="s">
        <v>26</v>
      </c>
      <c r="C59" s="3" t="s">
        <v>27</v>
      </c>
      <c r="D59" s="1" t="s">
        <v>25</v>
      </c>
      <c r="E59" s="3" t="s">
        <v>28</v>
      </c>
      <c r="F59" s="3" t="s">
        <v>29</v>
      </c>
      <c r="G59" s="1" t="s">
        <v>30</v>
      </c>
      <c r="H59" s="40" t="s">
        <v>31</v>
      </c>
      <c r="I59" s="122" t="s">
        <v>257</v>
      </c>
    </row>
    <row r="60" spans="1:9" ht="12.75" hidden="1" outlineLevel="1">
      <c r="A60" s="92" t="s">
        <v>32</v>
      </c>
      <c r="B60" s="92">
        <v>1747</v>
      </c>
      <c r="C60" s="3">
        <f aca="true" t="shared" si="6" ref="C60:C68">D60/B60*100</f>
        <v>57.2123640526617</v>
      </c>
      <c r="D60" s="93">
        <v>999.5</v>
      </c>
      <c r="E60" s="83">
        <v>33</v>
      </c>
      <c r="F60" s="2">
        <f>ROUND(B60*E60/100,2)-7.5</f>
        <v>569.01</v>
      </c>
      <c r="G60" s="83">
        <f aca="true" t="shared" si="7" ref="G60:G70">F60-D60</f>
        <v>-430.49</v>
      </c>
      <c r="H60" s="40">
        <f>F60-F32</f>
        <v>-192.16999999999996</v>
      </c>
      <c r="I60" s="129">
        <f>(1-F32/F60)*100</f>
        <v>-33.77269292279572</v>
      </c>
    </row>
    <row r="61" spans="1:9" ht="12.75" hidden="1" outlineLevel="1">
      <c r="A61" s="92" t="s">
        <v>174</v>
      </c>
      <c r="B61" s="92">
        <v>4304</v>
      </c>
      <c r="C61" s="3">
        <f t="shared" si="6"/>
        <v>23.23396840148699</v>
      </c>
      <c r="D61" s="93">
        <v>999.99</v>
      </c>
      <c r="E61" s="83">
        <v>6.25</v>
      </c>
      <c r="F61" s="2">
        <f>ROUND(B61*E61/100,2)-7.5</f>
        <v>261.5</v>
      </c>
      <c r="G61" s="83">
        <f t="shared" si="7"/>
        <v>-738.49</v>
      </c>
      <c r="H61" s="40">
        <f>F61-F33</f>
        <v>-75.32</v>
      </c>
      <c r="I61" s="129">
        <f>(1-F33/F61)*100</f>
        <v>-28.803059273422548</v>
      </c>
    </row>
    <row r="62" spans="1:9" ht="12.75" hidden="1" outlineLevel="1">
      <c r="A62" t="s">
        <v>203</v>
      </c>
      <c r="B62" s="1">
        <v>242</v>
      </c>
      <c r="C62" s="3">
        <f t="shared" si="6"/>
        <v>212.9917355371901</v>
      </c>
      <c r="D62" s="3">
        <v>515.44</v>
      </c>
      <c r="E62" s="83">
        <v>4.5</v>
      </c>
      <c r="F62" s="2">
        <f>ROUND(B62*E62/100,2)-12</f>
        <v>-1.1099999999999994</v>
      </c>
      <c r="G62" s="2">
        <f t="shared" si="7"/>
        <v>-516.5500000000001</v>
      </c>
      <c r="H62" s="40">
        <f>F62-F34</f>
        <v>-9.68</v>
      </c>
      <c r="I62" s="129">
        <f>(1-F34/ABS(F62))*100</f>
        <v>-672.0720720720725</v>
      </c>
    </row>
    <row r="63" spans="1:9" ht="12.75" hidden="1" outlineLevel="1">
      <c r="A63" s="92" t="s">
        <v>118</v>
      </c>
      <c r="B63" s="92">
        <v>255</v>
      </c>
      <c r="C63" s="3">
        <f t="shared" si="6"/>
        <v>398.29411764705884</v>
      </c>
      <c r="D63" s="93">
        <v>1015.65</v>
      </c>
      <c r="E63" s="83">
        <v>431</v>
      </c>
      <c r="F63" s="2">
        <f>ROUND(B63*E63/100,2)-12</f>
        <v>1087.05</v>
      </c>
      <c r="G63" s="83">
        <f t="shared" si="7"/>
        <v>71.39999999999998</v>
      </c>
      <c r="H63" s="40">
        <f>F63-F35</f>
        <v>47.809999999999945</v>
      </c>
      <c r="I63" s="129">
        <f>(1-F35/F63)*100</f>
        <v>4.398141759808649</v>
      </c>
    </row>
    <row r="64" spans="1:9" ht="12.75" hidden="1" outlineLevel="1">
      <c r="A64" s="92" t="s">
        <v>152</v>
      </c>
      <c r="B64" s="92">
        <v>5090</v>
      </c>
      <c r="C64" s="3">
        <f t="shared" si="6"/>
        <v>4.911198428290766</v>
      </c>
      <c r="D64" s="93">
        <v>249.98</v>
      </c>
      <c r="E64" s="83">
        <v>3.95</v>
      </c>
      <c r="F64" s="2">
        <f>ROUND(B64*E64/100,2)-7.5</f>
        <v>193.56</v>
      </c>
      <c r="G64" s="83">
        <f>F64-D64</f>
        <v>-56.41999999999999</v>
      </c>
      <c r="H64" s="158">
        <f>0</f>
        <v>0</v>
      </c>
      <c r="I64" s="129"/>
    </row>
    <row r="65" spans="1:9" ht="12.75" hidden="1" outlineLevel="1">
      <c r="A65" s="83" t="s">
        <v>178</v>
      </c>
      <c r="B65" s="92">
        <v>561</v>
      </c>
      <c r="C65" s="3">
        <f t="shared" si="6"/>
        <v>177.2121212121212</v>
      </c>
      <c r="D65" s="93">
        <v>994.16</v>
      </c>
      <c r="E65" s="83">
        <v>177</v>
      </c>
      <c r="F65" s="2">
        <f>ROUND(B65*E65/100,2)-7.5</f>
        <v>985.47</v>
      </c>
      <c r="G65" s="83">
        <f t="shared" si="7"/>
        <v>-8.68999999999994</v>
      </c>
      <c r="H65" s="40">
        <f aca="true" t="shared" si="8" ref="H65:H72">F65-F36</f>
        <v>-89.75999999999999</v>
      </c>
      <c r="I65" s="129">
        <f aca="true" t="shared" si="9" ref="I65:I73">(1-F36/F65)*100</f>
        <v>-9.108344241833844</v>
      </c>
    </row>
    <row r="66" spans="1:9" ht="12.75" hidden="1" outlineLevel="1">
      <c r="A66" s="92" t="s">
        <v>193</v>
      </c>
      <c r="B66" s="92">
        <v>202</v>
      </c>
      <c r="C66" s="93">
        <f t="shared" si="6"/>
        <v>492.8762376237624</v>
      </c>
      <c r="D66" s="93">
        <v>995.61</v>
      </c>
      <c r="E66" s="83">
        <v>415</v>
      </c>
      <c r="F66" s="83">
        <f>ROUND(B66*E66/100,2)-7.5</f>
        <v>830.8</v>
      </c>
      <c r="G66" s="83">
        <f t="shared" si="7"/>
        <v>-164.81000000000006</v>
      </c>
      <c r="H66" s="40">
        <f t="shared" si="8"/>
        <v>-104.03000000000009</v>
      </c>
      <c r="I66" s="129">
        <f t="shared" si="9"/>
        <v>-12.521665864227272</v>
      </c>
    </row>
    <row r="67" spans="1:9" ht="12.75" hidden="1" outlineLevel="1">
      <c r="A67" s="92" t="s">
        <v>151</v>
      </c>
      <c r="B67" s="92">
        <v>280</v>
      </c>
      <c r="C67" s="93">
        <f t="shared" si="6"/>
        <v>363.54285714285714</v>
      </c>
      <c r="D67" s="93">
        <v>1017.92</v>
      </c>
      <c r="E67" s="83">
        <v>245</v>
      </c>
      <c r="F67" s="83">
        <f>ROUND(B67*E67/100,2)-12</f>
        <v>674</v>
      </c>
      <c r="G67" s="83">
        <f t="shared" si="7"/>
        <v>-343.91999999999996</v>
      </c>
      <c r="H67" s="40">
        <f t="shared" si="8"/>
        <v>-133.70000000000005</v>
      </c>
      <c r="I67" s="129">
        <f t="shared" si="9"/>
        <v>-19.836795252225524</v>
      </c>
    </row>
    <row r="68" spans="1:9" ht="12.75" hidden="1" outlineLevel="1">
      <c r="A68" s="92" t="s">
        <v>184</v>
      </c>
      <c r="B68" s="92">
        <v>755</v>
      </c>
      <c r="C68" s="3">
        <f t="shared" si="6"/>
        <v>132.54834437086095</v>
      </c>
      <c r="D68" s="93">
        <v>1000.74</v>
      </c>
      <c r="E68" s="83">
        <v>118.75</v>
      </c>
      <c r="F68" s="2">
        <f>ROUND(B68*E68/100,2)-7.5</f>
        <v>889.06</v>
      </c>
      <c r="G68" s="83">
        <f t="shared" si="7"/>
        <v>-111.68000000000006</v>
      </c>
      <c r="H68" s="40">
        <f t="shared" si="8"/>
        <v>-84.94000000000005</v>
      </c>
      <c r="I68" s="129">
        <f t="shared" si="9"/>
        <v>-9.553910872157111</v>
      </c>
    </row>
    <row r="69" spans="1:9" ht="12.75" hidden="1" outlineLevel="1">
      <c r="A69" s="1" t="s">
        <v>111</v>
      </c>
      <c r="B69" s="1">
        <v>28</v>
      </c>
      <c r="C69" s="3">
        <v>0</v>
      </c>
      <c r="D69" s="3">
        <v>0</v>
      </c>
      <c r="E69" s="83">
        <v>70</v>
      </c>
      <c r="F69" s="2">
        <f>ROUND(B69*E69/100,2)-12</f>
        <v>7.600000000000001</v>
      </c>
      <c r="G69" s="83">
        <f t="shared" si="7"/>
        <v>7.600000000000001</v>
      </c>
      <c r="H69" s="40">
        <f t="shared" si="8"/>
        <v>-1.3999999999999986</v>
      </c>
      <c r="I69" s="129">
        <f t="shared" si="9"/>
        <v>-18.421052631578917</v>
      </c>
    </row>
    <row r="70" spans="1:9" ht="12.75" hidden="1" outlineLevel="1">
      <c r="A70" t="s">
        <v>61</v>
      </c>
      <c r="B70" s="1">
        <v>2</v>
      </c>
      <c r="C70" s="3">
        <f>D70/B70*100</f>
        <v>258.5</v>
      </c>
      <c r="D70" s="3">
        <v>5.17</v>
      </c>
      <c r="E70" s="83">
        <v>243.25</v>
      </c>
      <c r="F70" s="2">
        <f>ROUND(B70*E70/100,2)-12</f>
        <v>-7.13</v>
      </c>
      <c r="G70" s="83">
        <f t="shared" si="7"/>
        <v>-12.3</v>
      </c>
      <c r="H70" s="40">
        <f t="shared" si="8"/>
        <v>-0.2699999999999996</v>
      </c>
      <c r="I70" s="129">
        <f t="shared" si="9"/>
        <v>3.7868162692847096</v>
      </c>
    </row>
    <row r="71" spans="1:9" ht="12.75" hidden="1" outlineLevel="1">
      <c r="A71" s="92" t="s">
        <v>209</v>
      </c>
      <c r="B71" s="92">
        <v>4304</v>
      </c>
      <c r="C71" s="3">
        <v>0</v>
      </c>
      <c r="D71" s="93">
        <v>0</v>
      </c>
      <c r="E71" s="83">
        <v>10.75</v>
      </c>
      <c r="F71" s="2">
        <f>ROUND(B71*E71/100,2)-7.5</f>
        <v>455.18</v>
      </c>
      <c r="G71" s="83">
        <f>F71-D71</f>
        <v>455.18</v>
      </c>
      <c r="H71" s="40">
        <f t="shared" si="8"/>
        <v>-10.759999999999991</v>
      </c>
      <c r="I71" s="129">
        <f t="shared" si="9"/>
        <v>-2.3638999956061335</v>
      </c>
    </row>
    <row r="72" spans="1:9" ht="12.75" hidden="1" outlineLevel="1">
      <c r="A72" t="s">
        <v>94</v>
      </c>
      <c r="B72" s="1">
        <v>364</v>
      </c>
      <c r="C72" s="3">
        <f>D72/B72*100</f>
        <v>279.6730769230769</v>
      </c>
      <c r="D72" s="208">
        <v>1018.01</v>
      </c>
      <c r="E72" s="221">
        <v>140</v>
      </c>
      <c r="F72" s="220">
        <f>ROUND(B72*E72/100,2)-12</f>
        <v>497.6</v>
      </c>
      <c r="G72" s="221">
        <f>F72-D72</f>
        <v>-520.41</v>
      </c>
      <c r="H72" s="242">
        <f t="shared" si="8"/>
        <v>-218.39999999999998</v>
      </c>
      <c r="I72" s="129">
        <f t="shared" si="9"/>
        <v>-43.89067524115755</v>
      </c>
    </row>
    <row r="73" spans="3:9" ht="13.5" hidden="1" outlineLevel="1" thickBot="1">
      <c r="C73" s="8"/>
      <c r="D73" s="33">
        <f>SUM(D60:D72)</f>
        <v>8812.17</v>
      </c>
      <c r="E73" s="6"/>
      <c r="F73" s="33">
        <f>SUM(F60:F72)</f>
        <v>6442.590000000001</v>
      </c>
      <c r="G73" s="33">
        <f>SUM(G60:G72)</f>
        <v>-2369.580000000001</v>
      </c>
      <c r="H73" s="33">
        <f>SUM(H60:H72)</f>
        <v>-872.6200000000001</v>
      </c>
      <c r="I73" s="138">
        <f t="shared" si="9"/>
        <v>-10.540170956090611</v>
      </c>
    </row>
    <row r="74" ht="13.5" hidden="1" outlineLevel="1" thickTop="1"/>
    <row r="75" spans="1:6" ht="12.75" hidden="1" outlineLevel="1">
      <c r="A75" t="s">
        <v>33</v>
      </c>
      <c r="F75" s="2">
        <f>F73</f>
        <v>6442.590000000001</v>
      </c>
    </row>
    <row r="76" spans="2:6" ht="12.75" hidden="1" outlineLevel="1">
      <c r="B76" t="s">
        <v>34</v>
      </c>
      <c r="F76" s="2">
        <f>Cash!N58</f>
        <v>0</v>
      </c>
    </row>
    <row r="77" spans="2:6" ht="12.75" hidden="1" outlineLevel="1">
      <c r="B77" t="s">
        <v>39</v>
      </c>
      <c r="F77" s="2">
        <f>Cash!N59</f>
        <v>69.02</v>
      </c>
    </row>
    <row r="78" spans="2:6" ht="12.75" hidden="1" outlineLevel="1">
      <c r="B78" t="s">
        <v>171</v>
      </c>
      <c r="F78" s="2">
        <f>Cash!N60</f>
        <v>4023.4599999999996</v>
      </c>
    </row>
    <row r="79" spans="6:9" ht="12.75" hidden="1" outlineLevel="1">
      <c r="F79" s="2">
        <f>SUM(F75:F78)</f>
        <v>10535.070000000002</v>
      </c>
      <c r="H79" s="45" t="s">
        <v>40</v>
      </c>
      <c r="I79" s="12"/>
    </row>
    <row r="80" spans="1:9" ht="12.75" hidden="1" outlineLevel="1">
      <c r="A80" t="s">
        <v>36</v>
      </c>
      <c r="B80" t="s">
        <v>98</v>
      </c>
      <c r="E80" s="2">
        <v>0</v>
      </c>
      <c r="H80" s="41"/>
      <c r="I80" s="14"/>
    </row>
    <row r="81" spans="2:9" ht="12.75" hidden="1" outlineLevel="1">
      <c r="B81" t="s">
        <v>91</v>
      </c>
      <c r="E81" s="2">
        <v>0</v>
      </c>
      <c r="H81" s="41" t="s">
        <v>41</v>
      </c>
      <c r="I81" s="20">
        <f>F85</f>
        <v>10535.070000000002</v>
      </c>
    </row>
    <row r="82" spans="2:9" ht="12.75" hidden="1" outlineLevel="1">
      <c r="B82" t="s">
        <v>37</v>
      </c>
      <c r="E82" s="2">
        <v>0</v>
      </c>
      <c r="H82" s="41" t="s">
        <v>195</v>
      </c>
      <c r="I82" s="38">
        <f>Units!J49</f>
        <v>10100</v>
      </c>
    </row>
    <row r="83" spans="8:9" ht="12.75" hidden="1" outlineLevel="1">
      <c r="H83" s="42" t="s">
        <v>121</v>
      </c>
      <c r="I83" s="16">
        <f>ROUND(I81/I82,2)*100</f>
        <v>104</v>
      </c>
    </row>
    <row r="84" ht="12.75" hidden="1" outlineLevel="1">
      <c r="F84" s="2">
        <f>SUM(E80:E82)</f>
        <v>0</v>
      </c>
    </row>
    <row r="85" spans="1:6" ht="12.75" collapsed="1">
      <c r="A85" t="s">
        <v>38</v>
      </c>
      <c r="F85" s="240">
        <f>F79-F84</f>
        <v>10535.070000000002</v>
      </c>
    </row>
    <row r="87" ht="12.75">
      <c r="A87" s="4" t="s">
        <v>223</v>
      </c>
    </row>
    <row r="88" spans="1:9" ht="25.5" hidden="1" outlineLevel="1">
      <c r="A88" s="1" t="s">
        <v>24</v>
      </c>
      <c r="B88" s="1" t="s">
        <v>26</v>
      </c>
      <c r="C88" s="3" t="s">
        <v>27</v>
      </c>
      <c r="D88" s="1" t="s">
        <v>25</v>
      </c>
      <c r="E88" s="3" t="s">
        <v>28</v>
      </c>
      <c r="F88" s="3" t="s">
        <v>29</v>
      </c>
      <c r="G88" s="1" t="s">
        <v>30</v>
      </c>
      <c r="H88" s="40" t="s">
        <v>31</v>
      </c>
      <c r="I88" s="122" t="s">
        <v>257</v>
      </c>
    </row>
    <row r="89" spans="1:9" ht="12.75" hidden="1" outlineLevel="1">
      <c r="A89" s="92" t="s">
        <v>32</v>
      </c>
      <c r="B89" s="92">
        <v>1747</v>
      </c>
      <c r="C89" s="3">
        <f aca="true" t="shared" si="10" ref="C89:C96">D89/B89*100</f>
        <v>57.2123640526617</v>
      </c>
      <c r="D89" s="93">
        <v>999.5</v>
      </c>
      <c r="E89" s="83">
        <v>30</v>
      </c>
      <c r="F89" s="2">
        <f>ROUND(B89*E89/100,2)-7.5</f>
        <v>516.6</v>
      </c>
      <c r="G89" s="83">
        <f aca="true" t="shared" si="11" ref="G89:G100">F89-D89</f>
        <v>-482.9</v>
      </c>
      <c r="H89" s="40">
        <f>F89-F60</f>
        <v>-52.40999999999997</v>
      </c>
      <c r="I89" s="129">
        <f>(1-F60/F89)*100</f>
        <v>-10.145180023228795</v>
      </c>
    </row>
    <row r="90" spans="1:9" ht="12.75" hidden="1" outlineLevel="1">
      <c r="A90" s="92" t="s">
        <v>174</v>
      </c>
      <c r="B90" s="92">
        <v>4304</v>
      </c>
      <c r="C90" s="3">
        <f t="shared" si="10"/>
        <v>23.23396840148699</v>
      </c>
      <c r="D90" s="93">
        <v>999.99</v>
      </c>
      <c r="E90" s="83">
        <v>4.75</v>
      </c>
      <c r="F90" s="2">
        <f>ROUND(B90*E90/100,2)-7.5</f>
        <v>196.94</v>
      </c>
      <c r="G90" s="83">
        <f t="shared" si="11"/>
        <v>-803.05</v>
      </c>
      <c r="H90" s="40">
        <f>F90-F61</f>
        <v>-64.56</v>
      </c>
      <c r="I90" s="129">
        <f>(1-F61/F90)*100</f>
        <v>-32.781557834873574</v>
      </c>
    </row>
    <row r="91" spans="1:9" ht="12.75" hidden="1" outlineLevel="1">
      <c r="A91" t="s">
        <v>203</v>
      </c>
      <c r="B91" s="1">
        <v>242</v>
      </c>
      <c r="C91" s="3">
        <f t="shared" si="10"/>
        <v>212.9917355371901</v>
      </c>
      <c r="D91" s="3">
        <v>515.44</v>
      </c>
      <c r="E91" s="83">
        <v>5.5</v>
      </c>
      <c r="F91" s="2">
        <f>ROUND(B91*E91/100,2)-12</f>
        <v>1.3100000000000005</v>
      </c>
      <c r="G91" s="2">
        <f t="shared" si="11"/>
        <v>-514.1300000000001</v>
      </c>
      <c r="H91" s="40">
        <f>F91-F62</f>
        <v>2.42</v>
      </c>
      <c r="I91" s="129">
        <f>(1-F62/F91)*100</f>
        <v>184.73282442748084</v>
      </c>
    </row>
    <row r="92" spans="1:9" ht="12.75" hidden="1" outlineLevel="1">
      <c r="A92" s="92" t="s">
        <v>118</v>
      </c>
      <c r="B92" s="92">
        <v>255</v>
      </c>
      <c r="C92" s="3">
        <f t="shared" si="10"/>
        <v>398.29411764705884</v>
      </c>
      <c r="D92" s="93">
        <v>1015.65</v>
      </c>
      <c r="E92" s="83">
        <v>345</v>
      </c>
      <c r="F92" s="2">
        <f>ROUND(B92*E92/100,2)-12</f>
        <v>867.75</v>
      </c>
      <c r="G92" s="83">
        <f t="shared" si="11"/>
        <v>-147.89999999999998</v>
      </c>
      <c r="H92" s="40">
        <f>F92-F63</f>
        <v>-219.29999999999995</v>
      </c>
      <c r="I92" s="129">
        <f>(1-F63/F92)*100</f>
        <v>-25.272255834053592</v>
      </c>
    </row>
    <row r="93" spans="1:9" ht="12.75" hidden="1" outlineLevel="1">
      <c r="A93" s="92" t="s">
        <v>152</v>
      </c>
      <c r="B93" s="92">
        <v>5090</v>
      </c>
      <c r="C93" s="3">
        <f t="shared" si="10"/>
        <v>4.911198428290766</v>
      </c>
      <c r="D93" s="93">
        <v>249.98</v>
      </c>
      <c r="E93" s="83">
        <v>3.4</v>
      </c>
      <c r="F93" s="2">
        <f>ROUND(B93*E93/100,2)-7.5</f>
        <v>165.56</v>
      </c>
      <c r="G93" s="83">
        <f t="shared" si="11"/>
        <v>-84.41999999999999</v>
      </c>
      <c r="H93" s="40">
        <f>F93-F64</f>
        <v>-28</v>
      </c>
      <c r="I93" s="129">
        <f>(1-F64/F93)*100</f>
        <v>-16.912297656438756</v>
      </c>
    </row>
    <row r="94" spans="1:9" ht="12.75" hidden="1" outlineLevel="1">
      <c r="A94" s="92" t="s">
        <v>193</v>
      </c>
      <c r="B94" s="92">
        <v>202</v>
      </c>
      <c r="C94" s="93">
        <f t="shared" si="10"/>
        <v>492.8762376237624</v>
      </c>
      <c r="D94" s="93">
        <v>995.61</v>
      </c>
      <c r="E94" s="83">
        <v>390</v>
      </c>
      <c r="F94" s="83">
        <f>ROUND(B94*E94/100,2)-7.5</f>
        <v>780.3</v>
      </c>
      <c r="G94" s="83">
        <f t="shared" si="11"/>
        <v>-215.31000000000006</v>
      </c>
      <c r="H94" s="40">
        <f aca="true" t="shared" si="12" ref="H94:H100">F94-F66</f>
        <v>-50.5</v>
      </c>
      <c r="I94" s="129">
        <f aca="true" t="shared" si="13" ref="I94:I101">(1-F66/F94)*100</f>
        <v>-6.471869793669094</v>
      </c>
    </row>
    <row r="95" spans="1:9" ht="12.75" hidden="1" outlineLevel="1">
      <c r="A95" s="92" t="s">
        <v>151</v>
      </c>
      <c r="B95" s="92">
        <v>280</v>
      </c>
      <c r="C95" s="93">
        <f t="shared" si="10"/>
        <v>363.54285714285714</v>
      </c>
      <c r="D95" s="93">
        <v>1017.92</v>
      </c>
      <c r="E95" s="83">
        <v>148</v>
      </c>
      <c r="F95" s="83">
        <f>ROUND(B95*E95/100,2)-12</f>
        <v>402.4</v>
      </c>
      <c r="G95" s="83">
        <f t="shared" si="11"/>
        <v>-615.52</v>
      </c>
      <c r="H95" s="40">
        <f t="shared" si="12"/>
        <v>-271.6</v>
      </c>
      <c r="I95" s="129">
        <f t="shared" si="13"/>
        <v>-67.49502982107356</v>
      </c>
    </row>
    <row r="96" spans="1:9" ht="12.75" hidden="1" outlineLevel="1">
      <c r="A96" s="92" t="s">
        <v>184</v>
      </c>
      <c r="B96" s="92">
        <v>755</v>
      </c>
      <c r="C96" s="3">
        <f t="shared" si="10"/>
        <v>132.54834437086095</v>
      </c>
      <c r="D96" s="93">
        <v>1000.74</v>
      </c>
      <c r="E96" s="83">
        <v>88</v>
      </c>
      <c r="F96" s="2">
        <f>ROUND(B96*E96/100,2)-7.5</f>
        <v>656.9</v>
      </c>
      <c r="G96" s="83">
        <f t="shared" si="11"/>
        <v>-343.84000000000003</v>
      </c>
      <c r="H96" s="40">
        <f t="shared" si="12"/>
        <v>-232.15999999999997</v>
      </c>
      <c r="I96" s="129">
        <f t="shared" si="13"/>
        <v>-35.34175673618512</v>
      </c>
    </row>
    <row r="97" spans="1:9" ht="12.75" hidden="1" outlineLevel="1">
      <c r="A97" s="1" t="s">
        <v>111</v>
      </c>
      <c r="B97" s="1">
        <v>28</v>
      </c>
      <c r="C97" s="3">
        <v>0</v>
      </c>
      <c r="D97" s="3">
        <v>0</v>
      </c>
      <c r="E97" s="83">
        <v>68</v>
      </c>
      <c r="F97" s="2">
        <f>ROUND(B97*E97/100,2)-12</f>
        <v>7.039999999999999</v>
      </c>
      <c r="G97" s="83">
        <f t="shared" si="11"/>
        <v>7.039999999999999</v>
      </c>
      <c r="H97" s="40">
        <f t="shared" si="12"/>
        <v>-0.5600000000000023</v>
      </c>
      <c r="I97" s="129">
        <f t="shared" si="13"/>
        <v>-7.954545454545481</v>
      </c>
    </row>
    <row r="98" spans="1:9" ht="12.75" hidden="1" outlineLevel="1">
      <c r="A98" t="s">
        <v>61</v>
      </c>
      <c r="B98" s="1">
        <v>2</v>
      </c>
      <c r="C98" s="3">
        <f>D98/B98*100</f>
        <v>258.5</v>
      </c>
      <c r="D98" s="3">
        <v>5.17</v>
      </c>
      <c r="E98" s="83">
        <v>208.5</v>
      </c>
      <c r="F98" s="2">
        <f>ROUND(B98*E98/100,2)-12</f>
        <v>-7.83</v>
      </c>
      <c r="G98" s="83">
        <f t="shared" si="11"/>
        <v>-13</v>
      </c>
      <c r="H98" s="40">
        <f t="shared" si="12"/>
        <v>-0.7000000000000002</v>
      </c>
      <c r="I98" s="129">
        <f t="shared" si="13"/>
        <v>8.939974457215838</v>
      </c>
    </row>
    <row r="99" spans="1:9" ht="12.75" hidden="1" outlineLevel="1">
      <c r="A99" s="92" t="s">
        <v>209</v>
      </c>
      <c r="B99" s="92">
        <v>4304</v>
      </c>
      <c r="C99" s="3">
        <v>0</v>
      </c>
      <c r="D99" s="93">
        <v>0</v>
      </c>
      <c r="E99" s="83">
        <v>8.5</v>
      </c>
      <c r="F99" s="2">
        <f>ROUND(B99*E99/100,2)-7.5</f>
        <v>358.34</v>
      </c>
      <c r="G99" s="83">
        <f t="shared" si="11"/>
        <v>358.34</v>
      </c>
      <c r="H99" s="40">
        <f t="shared" si="12"/>
        <v>-96.84000000000003</v>
      </c>
      <c r="I99" s="129">
        <f t="shared" si="13"/>
        <v>-27.02461349556289</v>
      </c>
    </row>
    <row r="100" spans="1:9" ht="12.75" hidden="1" outlineLevel="1">
      <c r="A100" t="s">
        <v>94</v>
      </c>
      <c r="B100" s="1">
        <v>364</v>
      </c>
      <c r="C100" s="3">
        <f>D100/B100*100</f>
        <v>279.6730769230769</v>
      </c>
      <c r="D100" s="208">
        <v>1018.01</v>
      </c>
      <c r="E100" s="221">
        <v>115</v>
      </c>
      <c r="F100" s="220">
        <f>ROUND(B100*E100/100,2)-12</f>
        <v>406.6</v>
      </c>
      <c r="G100" s="221">
        <f t="shared" si="11"/>
        <v>-611.41</v>
      </c>
      <c r="H100" s="242">
        <f t="shared" si="12"/>
        <v>-91</v>
      </c>
      <c r="I100" s="129">
        <f t="shared" si="13"/>
        <v>-22.380718150516476</v>
      </c>
    </row>
    <row r="101" spans="3:9" ht="13.5" hidden="1" outlineLevel="1" thickBot="1">
      <c r="C101" s="8"/>
      <c r="D101" s="33">
        <f>SUM(D89:D100)</f>
        <v>7818.01</v>
      </c>
      <c r="E101" s="6"/>
      <c r="F101" s="33">
        <f>SUM(F89:F100)</f>
        <v>4351.910000000001</v>
      </c>
      <c r="G101" s="33">
        <f>SUM(G89:G100)</f>
        <v>-3466.1</v>
      </c>
      <c r="H101" s="33">
        <f>SUM(H89:H100)</f>
        <v>-1105.21</v>
      </c>
      <c r="I101" s="138">
        <f t="shared" si="13"/>
        <v>-48.04051554374975</v>
      </c>
    </row>
    <row r="102" ht="13.5" hidden="1" outlineLevel="1" thickTop="1">
      <c r="I102" s="138"/>
    </row>
    <row r="103" spans="1:6" ht="12.75" hidden="1" outlineLevel="1">
      <c r="A103" t="s">
        <v>33</v>
      </c>
      <c r="F103" s="2">
        <f>F101</f>
        <v>4351.910000000001</v>
      </c>
    </row>
    <row r="104" spans="2:6" ht="12.75" hidden="1" outlineLevel="1">
      <c r="B104" t="s">
        <v>34</v>
      </c>
      <c r="F104" s="2">
        <f>Cash!N78</f>
        <v>-0.009999999999990905</v>
      </c>
    </row>
    <row r="105" spans="2:6" ht="12.75" hidden="1" outlineLevel="1">
      <c r="B105" t="s">
        <v>39</v>
      </c>
      <c r="F105" s="2">
        <f>Cash!N79</f>
        <v>69.1</v>
      </c>
    </row>
    <row r="106" spans="2:9" ht="12.75" hidden="1" outlineLevel="1">
      <c r="B106" t="s">
        <v>171</v>
      </c>
      <c r="F106" s="2">
        <f>Cash!N80</f>
        <v>5361.639999999999</v>
      </c>
      <c r="H106" s="45" t="s">
        <v>40</v>
      </c>
      <c r="I106" s="12"/>
    </row>
    <row r="107" spans="6:9" ht="12.75" hidden="1" outlineLevel="1">
      <c r="F107" s="2">
        <f>SUM(F103:F106)</f>
        <v>9782.64</v>
      </c>
      <c r="H107" s="41"/>
      <c r="I107" s="14"/>
    </row>
    <row r="108" spans="1:9" ht="12.75" hidden="1" outlineLevel="1">
      <c r="A108" t="s">
        <v>36</v>
      </c>
      <c r="B108" t="s">
        <v>98</v>
      </c>
      <c r="E108" s="2">
        <v>0</v>
      </c>
      <c r="H108" s="41" t="s">
        <v>41</v>
      </c>
      <c r="I108" s="20">
        <f>F112</f>
        <v>9782.64</v>
      </c>
    </row>
    <row r="109" spans="2:9" ht="12.75" hidden="1" outlineLevel="1">
      <c r="B109" t="s">
        <v>91</v>
      </c>
      <c r="E109" s="2">
        <v>0</v>
      </c>
      <c r="H109" s="41" t="s">
        <v>42</v>
      </c>
      <c r="I109" s="38">
        <f>Units!J65</f>
        <v>10499</v>
      </c>
    </row>
    <row r="110" spans="2:9" ht="12.75" hidden="1" outlineLevel="1">
      <c r="B110" t="s">
        <v>37</v>
      </c>
      <c r="E110" s="8">
        <v>0</v>
      </c>
      <c r="H110" s="42" t="s">
        <v>43</v>
      </c>
      <c r="I110" s="16">
        <f>ROUND(I108/I109,2)*100</f>
        <v>93</v>
      </c>
    </row>
    <row r="111" ht="12.75" hidden="1" outlineLevel="1">
      <c r="F111" s="2">
        <f>SUM(E108:E110)</f>
        <v>0</v>
      </c>
    </row>
    <row r="112" spans="1:6" ht="12.75" collapsed="1">
      <c r="A112" t="s">
        <v>38</v>
      </c>
      <c r="F112" s="240">
        <f>F107-F111</f>
        <v>9782.64</v>
      </c>
    </row>
    <row r="114" ht="12.75">
      <c r="A114" s="4" t="s">
        <v>227</v>
      </c>
    </row>
    <row r="115" spans="1:9" ht="25.5" hidden="1" outlineLevel="1">
      <c r="A115" s="1" t="s">
        <v>24</v>
      </c>
      <c r="B115" s="1" t="s">
        <v>26</v>
      </c>
      <c r="C115" s="3" t="s">
        <v>27</v>
      </c>
      <c r="D115" s="1" t="s">
        <v>25</v>
      </c>
      <c r="E115" s="3" t="s">
        <v>28</v>
      </c>
      <c r="F115" s="3" t="s">
        <v>29</v>
      </c>
      <c r="G115" s="1" t="s">
        <v>30</v>
      </c>
      <c r="H115" s="40" t="s">
        <v>31</v>
      </c>
      <c r="I115" s="122" t="s">
        <v>257</v>
      </c>
    </row>
    <row r="116" spans="1:9" ht="12.75" hidden="1" outlineLevel="1">
      <c r="A116" s="92" t="s">
        <v>32</v>
      </c>
      <c r="B116" s="92">
        <v>1747</v>
      </c>
      <c r="C116" s="3">
        <f aca="true" t="shared" si="14" ref="C116:C123">D116/B116*100</f>
        <v>57.2123640526617</v>
      </c>
      <c r="D116" s="93">
        <v>999.5</v>
      </c>
      <c r="E116" s="83">
        <v>30</v>
      </c>
      <c r="F116" s="2">
        <f>ROUND(B116*E116/100,2)-7.5</f>
        <v>516.6</v>
      </c>
      <c r="G116" s="83">
        <f aca="true" t="shared" si="15" ref="G116:G127">F116-D116</f>
        <v>-482.9</v>
      </c>
      <c r="H116" s="40">
        <f aca="true" t="shared" si="16" ref="H116:H127">F116-F89</f>
        <v>0</v>
      </c>
      <c r="I116" s="129">
        <f aca="true" t="shared" si="17" ref="I116:I128">(1-F89/F116)*100</f>
        <v>0</v>
      </c>
    </row>
    <row r="117" spans="1:9" ht="12.75" hidden="1" outlineLevel="1">
      <c r="A117" s="92" t="s">
        <v>174</v>
      </c>
      <c r="B117" s="92">
        <v>4304</v>
      </c>
      <c r="C117" s="3">
        <f t="shared" si="14"/>
        <v>23.23396840148699</v>
      </c>
      <c r="D117" s="93">
        <v>999.99</v>
      </c>
      <c r="E117" s="83">
        <v>4.5</v>
      </c>
      <c r="F117" s="2">
        <f>ROUND(B117*E117/100,2)-7.5</f>
        <v>186.18</v>
      </c>
      <c r="G117" s="83">
        <f t="shared" si="15"/>
        <v>-813.81</v>
      </c>
      <c r="H117" s="40">
        <f t="shared" si="16"/>
        <v>-10.759999999999991</v>
      </c>
      <c r="I117" s="129">
        <f t="shared" si="17"/>
        <v>-5.779353313997193</v>
      </c>
    </row>
    <row r="118" spans="1:9" ht="12.75" hidden="1" outlineLevel="1">
      <c r="A118" t="s">
        <v>203</v>
      </c>
      <c r="B118" s="1">
        <v>242</v>
      </c>
      <c r="C118" s="3">
        <f t="shared" si="14"/>
        <v>212.9917355371901</v>
      </c>
      <c r="D118" s="3">
        <v>515.44</v>
      </c>
      <c r="E118" s="83">
        <v>6.5</v>
      </c>
      <c r="F118" s="2">
        <f>ROUND(B118*E118/100,2)-12</f>
        <v>3.7300000000000004</v>
      </c>
      <c r="G118" s="2">
        <f t="shared" si="15"/>
        <v>-511.71000000000004</v>
      </c>
      <c r="H118" s="40">
        <f t="shared" si="16"/>
        <v>2.42</v>
      </c>
      <c r="I118" s="129">
        <f t="shared" si="17"/>
        <v>64.87935656836461</v>
      </c>
    </row>
    <row r="119" spans="1:9" ht="12.75" hidden="1" outlineLevel="1">
      <c r="A119" s="92" t="s">
        <v>118</v>
      </c>
      <c r="B119" s="92">
        <v>255</v>
      </c>
      <c r="C119" s="3">
        <f t="shared" si="14"/>
        <v>398.29411764705884</v>
      </c>
      <c r="D119" s="93">
        <v>1015.65</v>
      </c>
      <c r="E119" s="83">
        <v>385</v>
      </c>
      <c r="F119" s="2">
        <f>ROUND(B119*E119/100,2)-12</f>
        <v>969.75</v>
      </c>
      <c r="G119" s="83">
        <f t="shared" si="15"/>
        <v>-45.89999999999998</v>
      </c>
      <c r="H119" s="40">
        <f t="shared" si="16"/>
        <v>102</v>
      </c>
      <c r="I119" s="129">
        <f t="shared" si="17"/>
        <v>10.518174787316315</v>
      </c>
    </row>
    <row r="120" spans="1:9" ht="12.75" hidden="1" outlineLevel="1">
      <c r="A120" s="92" t="s">
        <v>152</v>
      </c>
      <c r="B120" s="92">
        <v>5090</v>
      </c>
      <c r="C120" s="3">
        <f t="shared" si="14"/>
        <v>4.911198428290766</v>
      </c>
      <c r="D120" s="93">
        <v>249.98</v>
      </c>
      <c r="E120" s="83">
        <v>1.67</v>
      </c>
      <c r="F120" s="2">
        <f>ROUND(B120*E120/100,2)-7.5</f>
        <v>77.5</v>
      </c>
      <c r="G120" s="83">
        <f t="shared" si="15"/>
        <v>-172.48</v>
      </c>
      <c r="H120" s="40">
        <f t="shared" si="16"/>
        <v>-88.06</v>
      </c>
      <c r="I120" s="129">
        <f t="shared" si="17"/>
        <v>-113.6258064516129</v>
      </c>
    </row>
    <row r="121" spans="1:9" ht="12.75" hidden="1" outlineLevel="1">
      <c r="A121" s="92" t="s">
        <v>193</v>
      </c>
      <c r="B121" s="92">
        <v>202</v>
      </c>
      <c r="C121" s="93">
        <f t="shared" si="14"/>
        <v>492.8762376237624</v>
      </c>
      <c r="D121" s="93">
        <v>995.61</v>
      </c>
      <c r="E121" s="83">
        <v>445</v>
      </c>
      <c r="F121" s="83">
        <f>ROUND(B121*E121/100,2)-7.5</f>
        <v>891.4</v>
      </c>
      <c r="G121" s="83">
        <f t="shared" si="15"/>
        <v>-104.21000000000004</v>
      </c>
      <c r="H121" s="40">
        <f t="shared" si="16"/>
        <v>111.10000000000002</v>
      </c>
      <c r="I121" s="129">
        <f t="shared" si="17"/>
        <v>12.463540498092895</v>
      </c>
    </row>
    <row r="122" spans="1:9" ht="12.75" hidden="1" outlineLevel="1">
      <c r="A122" s="92" t="s">
        <v>151</v>
      </c>
      <c r="B122" s="92">
        <v>280</v>
      </c>
      <c r="C122" s="93">
        <f t="shared" si="14"/>
        <v>363.54285714285714</v>
      </c>
      <c r="D122" s="93">
        <v>1017.92</v>
      </c>
      <c r="E122" s="83">
        <v>124</v>
      </c>
      <c r="F122" s="83">
        <f>ROUND(B122*E122/100,2)-12</f>
        <v>335.2</v>
      </c>
      <c r="G122" s="83">
        <f t="shared" si="15"/>
        <v>-682.72</v>
      </c>
      <c r="H122" s="40">
        <f t="shared" si="16"/>
        <v>-67.19999999999999</v>
      </c>
      <c r="I122" s="129">
        <f t="shared" si="17"/>
        <v>-20.04773269689737</v>
      </c>
    </row>
    <row r="123" spans="1:9" ht="12.75" hidden="1" outlineLevel="1">
      <c r="A123" s="92" t="s">
        <v>184</v>
      </c>
      <c r="B123" s="92">
        <v>755</v>
      </c>
      <c r="C123" s="3">
        <f t="shared" si="14"/>
        <v>132.54834437086095</v>
      </c>
      <c r="D123" s="93">
        <v>1000.74</v>
      </c>
      <c r="E123" s="83">
        <v>98.5</v>
      </c>
      <c r="F123" s="2">
        <f>ROUND(B123*E123/100,2)-7.5</f>
        <v>736.18</v>
      </c>
      <c r="G123" s="83">
        <f t="shared" si="15"/>
        <v>-264.56000000000006</v>
      </c>
      <c r="H123" s="40">
        <f t="shared" si="16"/>
        <v>79.27999999999997</v>
      </c>
      <c r="I123" s="129">
        <f t="shared" si="17"/>
        <v>10.769105381835963</v>
      </c>
    </row>
    <row r="124" spans="1:9" ht="12.75" hidden="1" outlineLevel="1">
      <c r="A124" s="1" t="s">
        <v>111</v>
      </c>
      <c r="B124" s="1">
        <v>28</v>
      </c>
      <c r="C124" s="3">
        <v>0</v>
      </c>
      <c r="D124" s="3">
        <v>0</v>
      </c>
      <c r="E124" s="83">
        <v>55</v>
      </c>
      <c r="F124" s="2">
        <f>ROUND(B124*E124/100,2)-12</f>
        <v>3.4000000000000004</v>
      </c>
      <c r="G124" s="83">
        <f t="shared" si="15"/>
        <v>3.4000000000000004</v>
      </c>
      <c r="H124" s="40">
        <f t="shared" si="16"/>
        <v>-3.639999999999999</v>
      </c>
      <c r="I124" s="129">
        <f t="shared" si="17"/>
        <v>-107.05882352941174</v>
      </c>
    </row>
    <row r="125" spans="1:9" ht="12.75" hidden="1" outlineLevel="1">
      <c r="A125" t="s">
        <v>61</v>
      </c>
      <c r="B125" s="1">
        <v>2</v>
      </c>
      <c r="C125" s="3">
        <f>D125/B125*100</f>
        <v>258.5</v>
      </c>
      <c r="D125" s="3">
        <v>5.17</v>
      </c>
      <c r="E125" s="83">
        <v>211.5</v>
      </c>
      <c r="F125" s="2">
        <f>ROUND(B125*E125/100,2)-12</f>
        <v>-7.77</v>
      </c>
      <c r="G125" s="83">
        <f t="shared" si="15"/>
        <v>-12.94</v>
      </c>
      <c r="H125" s="40">
        <f t="shared" si="16"/>
        <v>0.0600000000000005</v>
      </c>
      <c r="I125" s="129">
        <f t="shared" si="17"/>
        <v>-0.7722007722007707</v>
      </c>
    </row>
    <row r="126" spans="1:9" ht="12.75" hidden="1" outlineLevel="1">
      <c r="A126" s="92" t="s">
        <v>209</v>
      </c>
      <c r="B126" s="92">
        <v>4304</v>
      </c>
      <c r="C126" s="3">
        <v>0</v>
      </c>
      <c r="D126" s="93">
        <v>0</v>
      </c>
      <c r="E126" s="83">
        <v>9.75</v>
      </c>
      <c r="F126" s="2">
        <f>ROUND(B126*E126/100,2)-7.5</f>
        <v>412.14</v>
      </c>
      <c r="G126" s="83">
        <f t="shared" si="15"/>
        <v>412.14</v>
      </c>
      <c r="H126" s="40">
        <f t="shared" si="16"/>
        <v>53.80000000000001</v>
      </c>
      <c r="I126" s="129">
        <f t="shared" si="17"/>
        <v>13.053816664240314</v>
      </c>
    </row>
    <row r="127" spans="1:9" ht="12.75" hidden="1" outlineLevel="1">
      <c r="A127" t="s">
        <v>94</v>
      </c>
      <c r="B127" s="1">
        <v>364</v>
      </c>
      <c r="C127" s="3">
        <f>D127/B127*100</f>
        <v>279.6730769230769</v>
      </c>
      <c r="D127" s="208">
        <v>1018.01</v>
      </c>
      <c r="E127" s="221">
        <v>100</v>
      </c>
      <c r="F127" s="220">
        <f>ROUND(B127*E127/100,2)-12</f>
        <v>352</v>
      </c>
      <c r="G127" s="221">
        <f t="shared" si="15"/>
        <v>-666.01</v>
      </c>
      <c r="H127" s="242">
        <f t="shared" si="16"/>
        <v>-54.60000000000002</v>
      </c>
      <c r="I127" s="129">
        <f t="shared" si="17"/>
        <v>-15.511363636363651</v>
      </c>
    </row>
    <row r="128" spans="3:9" ht="13.5" hidden="1" outlineLevel="1" thickBot="1">
      <c r="C128" s="8"/>
      <c r="D128" s="33">
        <f>SUM(D116:D127)</f>
        <v>7818.01</v>
      </c>
      <c r="E128" s="6"/>
      <c r="F128" s="33">
        <f>SUM(F116:F127)</f>
        <v>4476.3099999999995</v>
      </c>
      <c r="G128" s="33">
        <f>SUM(G116:G127)</f>
        <v>-3341.7000000000007</v>
      </c>
      <c r="H128" s="33">
        <f>SUM(H116:H127)</f>
        <v>124.40000000000003</v>
      </c>
      <c r="I128" s="138">
        <f t="shared" si="17"/>
        <v>2.7790747289619944</v>
      </c>
    </row>
    <row r="129" ht="13.5" hidden="1" outlineLevel="1" thickTop="1"/>
    <row r="130" spans="1:6" ht="12.75" hidden="1" outlineLevel="1">
      <c r="A130" t="s">
        <v>33</v>
      </c>
      <c r="F130" s="2">
        <f>F128</f>
        <v>4476.3099999999995</v>
      </c>
    </row>
    <row r="131" spans="2:6" ht="12.75" hidden="1" outlineLevel="1">
      <c r="B131" t="s">
        <v>34</v>
      </c>
      <c r="F131" s="2">
        <f>Cash!N102</f>
        <v>0</v>
      </c>
    </row>
    <row r="132" spans="2:6" ht="12.75" hidden="1" outlineLevel="1">
      <c r="B132" t="s">
        <v>39</v>
      </c>
      <c r="F132" s="2">
        <f>Cash!N103</f>
        <v>0</v>
      </c>
    </row>
    <row r="133" spans="2:9" ht="12.75" hidden="1" outlineLevel="1">
      <c r="B133" t="s">
        <v>171</v>
      </c>
      <c r="F133" s="2">
        <f>Cash!N104</f>
        <v>5864.71</v>
      </c>
      <c r="H133" s="45" t="s">
        <v>40</v>
      </c>
      <c r="I133" s="12"/>
    </row>
    <row r="134" spans="6:9" ht="12.75" hidden="1" outlineLevel="1">
      <c r="F134" s="2">
        <f>SUM(F130:F133)</f>
        <v>10341.02</v>
      </c>
      <c r="H134" s="41"/>
      <c r="I134" s="14"/>
    </row>
    <row r="135" spans="1:9" ht="12.75" hidden="1" outlineLevel="1">
      <c r="A135" t="s">
        <v>36</v>
      </c>
      <c r="B135" t="s">
        <v>98</v>
      </c>
      <c r="E135" s="2">
        <v>0</v>
      </c>
      <c r="H135" s="41" t="s">
        <v>41</v>
      </c>
      <c r="I135" s="20">
        <f>F140</f>
        <v>10341.02</v>
      </c>
    </row>
    <row r="136" spans="2:9" ht="12.75" hidden="1" outlineLevel="1">
      <c r="B136" t="s">
        <v>91</v>
      </c>
      <c r="E136" s="2">
        <v>0</v>
      </c>
      <c r="H136" s="41" t="s">
        <v>120</v>
      </c>
      <c r="I136" s="38">
        <f>Units!J81</f>
        <v>10955</v>
      </c>
    </row>
    <row r="137" spans="2:9" ht="12.75" hidden="1" outlineLevel="1">
      <c r="B137" t="s">
        <v>37</v>
      </c>
      <c r="E137" s="2">
        <v>0</v>
      </c>
      <c r="H137" s="42" t="s">
        <v>121</v>
      </c>
      <c r="I137" s="16">
        <f>ROUND(I135/I136,2)*100</f>
        <v>94</v>
      </c>
    </row>
    <row r="138" ht="12.75" hidden="1" outlineLevel="1">
      <c r="E138" s="2">
        <v>0</v>
      </c>
    </row>
    <row r="139" spans="5:6" ht="12.75" hidden="1" outlineLevel="1">
      <c r="E139" s="8"/>
      <c r="F139" s="2">
        <f>SUM(E135:E139)</f>
        <v>0</v>
      </c>
    </row>
    <row r="140" spans="1:6" ht="12.75" collapsed="1">
      <c r="A140" t="s">
        <v>38</v>
      </c>
      <c r="F140" s="240">
        <f>F134-F139</f>
        <v>10341.02</v>
      </c>
    </row>
    <row r="142" ht="12.75">
      <c r="A142" s="4" t="s">
        <v>231</v>
      </c>
    </row>
    <row r="143" spans="1:9" ht="25.5" hidden="1" outlineLevel="1">
      <c r="A143" s="1" t="s">
        <v>24</v>
      </c>
      <c r="B143" s="1" t="s">
        <v>26</v>
      </c>
      <c r="C143" s="3" t="s">
        <v>27</v>
      </c>
      <c r="D143" s="1" t="s">
        <v>25</v>
      </c>
      <c r="E143" s="3" t="s">
        <v>28</v>
      </c>
      <c r="F143" s="3" t="s">
        <v>29</v>
      </c>
      <c r="G143" s="1" t="s">
        <v>30</v>
      </c>
      <c r="H143" s="40" t="s">
        <v>31</v>
      </c>
      <c r="I143" s="122" t="s">
        <v>257</v>
      </c>
    </row>
    <row r="144" spans="1:9" ht="12.75" hidden="1" outlineLevel="1">
      <c r="A144" s="92" t="s">
        <v>32</v>
      </c>
      <c r="B144" s="92">
        <v>1747</v>
      </c>
      <c r="C144" s="3">
        <f aca="true" t="shared" si="18" ref="C144:C152">D144/B144*100</f>
        <v>57.2123640526617</v>
      </c>
      <c r="D144" s="93">
        <v>999.5</v>
      </c>
      <c r="E144" s="83">
        <v>24</v>
      </c>
      <c r="F144" s="2">
        <f>ROUND(B144*E144/100,2)-7.5</f>
        <v>411.78</v>
      </c>
      <c r="G144" s="83">
        <f>F144-D144</f>
        <v>-587.72</v>
      </c>
      <c r="H144" s="40">
        <f>F144-F116</f>
        <v>-104.82000000000005</v>
      </c>
      <c r="I144" s="129">
        <f>(1-F116/F144)*100</f>
        <v>-25.455340230220024</v>
      </c>
    </row>
    <row r="145" spans="1:9" ht="12.75" hidden="1" outlineLevel="1">
      <c r="A145" s="92" t="s">
        <v>174</v>
      </c>
      <c r="B145" s="92">
        <v>4304</v>
      </c>
      <c r="C145" s="3">
        <f t="shared" si="18"/>
        <v>23.23396840148699</v>
      </c>
      <c r="D145" s="93">
        <v>999.99</v>
      </c>
      <c r="E145" s="83">
        <v>2.75</v>
      </c>
      <c r="F145" s="2">
        <f>ROUND(B145*E145/100,2)-7.5</f>
        <v>110.86</v>
      </c>
      <c r="G145" s="83">
        <f aca="true" t="shared" si="19" ref="G145:G156">F145-D145</f>
        <v>-889.13</v>
      </c>
      <c r="H145" s="40">
        <f>F145-F117</f>
        <v>-75.32000000000001</v>
      </c>
      <c r="I145" s="129">
        <f>(1-F117/F145)*100</f>
        <v>-67.94154789825004</v>
      </c>
    </row>
    <row r="146" spans="1:9" ht="12.75" hidden="1" outlineLevel="1">
      <c r="A146" t="s">
        <v>230</v>
      </c>
      <c r="B146" s="1">
        <v>650</v>
      </c>
      <c r="C146" s="3">
        <f t="shared" si="18"/>
        <v>154.3553846153846</v>
      </c>
      <c r="D146" s="3">
        <v>1003.31</v>
      </c>
      <c r="E146" s="83">
        <v>135</v>
      </c>
      <c r="F146" s="2">
        <f>ROUND(B146*E146/100,2)-7.5</f>
        <v>870</v>
      </c>
      <c r="G146" s="2">
        <f>F146-D146</f>
        <v>-133.30999999999995</v>
      </c>
      <c r="H146" s="40">
        <v>0</v>
      </c>
      <c r="I146" s="129"/>
    </row>
    <row r="147" spans="1:9" ht="12.75" hidden="1" outlineLevel="1">
      <c r="A147" t="s">
        <v>203</v>
      </c>
      <c r="B147" s="1">
        <v>242</v>
      </c>
      <c r="C147" s="3">
        <f t="shared" si="18"/>
        <v>212.9917355371901</v>
      </c>
      <c r="D147" s="3">
        <v>515.44</v>
      </c>
      <c r="E147" s="83">
        <v>5.5</v>
      </c>
      <c r="F147" s="2">
        <f>ROUND(B147*E147/100,2)-12</f>
        <v>1.3100000000000005</v>
      </c>
      <c r="G147" s="2">
        <f t="shared" si="19"/>
        <v>-514.1300000000001</v>
      </c>
      <c r="H147" s="40">
        <f aca="true" t="shared" si="20" ref="H147:H156">F147-F118</f>
        <v>-2.42</v>
      </c>
      <c r="I147" s="129">
        <f aca="true" t="shared" si="21" ref="I147:I157">(1-F118/F147)*100</f>
        <v>-184.73282442748084</v>
      </c>
    </row>
    <row r="148" spans="1:9" ht="12.75" hidden="1" outlineLevel="1">
      <c r="A148" s="92" t="s">
        <v>118</v>
      </c>
      <c r="B148" s="92">
        <v>255</v>
      </c>
      <c r="C148" s="3">
        <f t="shared" si="18"/>
        <v>398.29411764705884</v>
      </c>
      <c r="D148" s="93">
        <v>1015.65</v>
      </c>
      <c r="E148" s="83">
        <v>370.75</v>
      </c>
      <c r="F148" s="2">
        <f>ROUND(B148*E148/100,2)-12</f>
        <v>933.41</v>
      </c>
      <c r="G148" s="83">
        <f t="shared" si="19"/>
        <v>-82.24000000000001</v>
      </c>
      <c r="H148" s="40">
        <f t="shared" si="20"/>
        <v>-36.34000000000003</v>
      </c>
      <c r="I148" s="129">
        <f t="shared" si="21"/>
        <v>-3.8932516257593086</v>
      </c>
    </row>
    <row r="149" spans="1:9" ht="12.75" hidden="1" outlineLevel="1">
      <c r="A149" s="92" t="s">
        <v>152</v>
      </c>
      <c r="B149" s="92">
        <v>5090</v>
      </c>
      <c r="C149" s="3">
        <f t="shared" si="18"/>
        <v>4.911198428290766</v>
      </c>
      <c r="D149" s="93">
        <v>249.98</v>
      </c>
      <c r="E149" s="83">
        <v>1.42</v>
      </c>
      <c r="F149" s="2">
        <f>ROUND(B149*E149/100,2)-7.5</f>
        <v>64.78</v>
      </c>
      <c r="G149" s="83">
        <f t="shared" si="19"/>
        <v>-185.2</v>
      </c>
      <c r="H149" s="40">
        <f t="shared" si="20"/>
        <v>-12.719999999999999</v>
      </c>
      <c r="I149" s="129">
        <f t="shared" si="21"/>
        <v>-19.635690027786357</v>
      </c>
    </row>
    <row r="150" spans="1:9" ht="12.75" hidden="1" outlineLevel="1">
      <c r="A150" s="92" t="s">
        <v>193</v>
      </c>
      <c r="B150" s="92">
        <v>202</v>
      </c>
      <c r="C150" s="93">
        <f t="shared" si="18"/>
        <v>492.8762376237624</v>
      </c>
      <c r="D150" s="93">
        <v>995.61</v>
      </c>
      <c r="E150" s="83">
        <v>397</v>
      </c>
      <c r="F150" s="83">
        <f>ROUND(B150*E150/100,2)-7.5</f>
        <v>794.44</v>
      </c>
      <c r="G150" s="83">
        <f t="shared" si="19"/>
        <v>-201.16999999999996</v>
      </c>
      <c r="H150" s="40">
        <f t="shared" si="20"/>
        <v>-96.95999999999992</v>
      </c>
      <c r="I150" s="129">
        <f t="shared" si="21"/>
        <v>-12.20482352348824</v>
      </c>
    </row>
    <row r="151" spans="1:9" ht="12.75" hidden="1" outlineLevel="1">
      <c r="A151" s="92" t="s">
        <v>151</v>
      </c>
      <c r="B151" s="92">
        <v>280</v>
      </c>
      <c r="C151" s="93">
        <f t="shared" si="18"/>
        <v>363.54285714285714</v>
      </c>
      <c r="D151" s="93">
        <v>1017.92</v>
      </c>
      <c r="E151" s="83">
        <v>96</v>
      </c>
      <c r="F151" s="83">
        <f>ROUND(B151*E151/100,2)-12</f>
        <v>256.8</v>
      </c>
      <c r="G151" s="83">
        <f t="shared" si="19"/>
        <v>-761.1199999999999</v>
      </c>
      <c r="H151" s="40">
        <f t="shared" si="20"/>
        <v>-78.39999999999998</v>
      </c>
      <c r="I151" s="129">
        <f t="shared" si="21"/>
        <v>-30.529595015576305</v>
      </c>
    </row>
    <row r="152" spans="1:9" ht="12.75" hidden="1" outlineLevel="1">
      <c r="A152" s="92" t="s">
        <v>184</v>
      </c>
      <c r="B152" s="92">
        <v>755</v>
      </c>
      <c r="C152" s="3">
        <f t="shared" si="18"/>
        <v>132.54834437086095</v>
      </c>
      <c r="D152" s="93">
        <v>1000.74</v>
      </c>
      <c r="E152" s="83">
        <v>101</v>
      </c>
      <c r="F152" s="2">
        <f>ROUND(B152*E152/100,2)-7.5</f>
        <v>755.05</v>
      </c>
      <c r="G152" s="83">
        <f t="shared" si="19"/>
        <v>-245.69000000000005</v>
      </c>
      <c r="H152" s="40">
        <f t="shared" si="20"/>
        <v>18.870000000000005</v>
      </c>
      <c r="I152" s="129">
        <f t="shared" si="21"/>
        <v>2.4991722402489924</v>
      </c>
    </row>
    <row r="153" spans="1:9" ht="12.75" customHeight="1" hidden="1" outlineLevel="1">
      <c r="A153" s="1" t="s">
        <v>111</v>
      </c>
      <c r="B153" s="1">
        <v>28</v>
      </c>
      <c r="C153" s="3">
        <v>0</v>
      </c>
      <c r="D153" s="3">
        <v>0</v>
      </c>
      <c r="E153" s="83">
        <v>53</v>
      </c>
      <c r="F153" s="2">
        <f>ROUND(B153*E153/100,2)-12</f>
        <v>2.84</v>
      </c>
      <c r="G153" s="83">
        <f t="shared" si="19"/>
        <v>2.84</v>
      </c>
      <c r="H153" s="40">
        <f t="shared" si="20"/>
        <v>-0.5600000000000005</v>
      </c>
      <c r="I153" s="129">
        <f t="shared" si="21"/>
        <v>-19.71830985915495</v>
      </c>
    </row>
    <row r="154" spans="1:9" ht="12.75" hidden="1" outlineLevel="1">
      <c r="A154" t="s">
        <v>61</v>
      </c>
      <c r="B154" s="1">
        <v>2</v>
      </c>
      <c r="C154" s="3">
        <f>D154/B154*100</f>
        <v>258.5</v>
      </c>
      <c r="D154" s="3">
        <v>5.17</v>
      </c>
      <c r="E154" s="83">
        <v>205.5</v>
      </c>
      <c r="F154" s="2">
        <f>ROUND(B154*E154/100,2)-12</f>
        <v>-7.89</v>
      </c>
      <c r="G154" s="83">
        <f t="shared" si="19"/>
        <v>-13.059999999999999</v>
      </c>
      <c r="H154" s="40">
        <f t="shared" si="20"/>
        <v>-0.1200000000000001</v>
      </c>
      <c r="I154" s="129">
        <f t="shared" si="21"/>
        <v>1.520912547528519</v>
      </c>
    </row>
    <row r="155" spans="1:9" ht="12.75" hidden="1" outlineLevel="1">
      <c r="A155" s="92" t="s">
        <v>209</v>
      </c>
      <c r="B155" s="92">
        <v>4304</v>
      </c>
      <c r="C155" s="3">
        <v>0</v>
      </c>
      <c r="D155" s="93">
        <v>0</v>
      </c>
      <c r="E155" s="83">
        <v>5.75</v>
      </c>
      <c r="F155" s="2">
        <f>ROUND(B155*E155/100,2)-7.5</f>
        <v>239.98</v>
      </c>
      <c r="G155" s="83">
        <f t="shared" si="19"/>
        <v>239.98</v>
      </c>
      <c r="H155" s="40">
        <f t="shared" si="20"/>
        <v>-172.16</v>
      </c>
      <c r="I155" s="129">
        <f t="shared" si="21"/>
        <v>-71.73931160930078</v>
      </c>
    </row>
    <row r="156" spans="1:9" ht="12.75" hidden="1" outlineLevel="1">
      <c r="A156" t="s">
        <v>94</v>
      </c>
      <c r="B156" s="1">
        <v>364</v>
      </c>
      <c r="C156" s="3">
        <f>D156/B156*100</f>
        <v>279.6730769230769</v>
      </c>
      <c r="D156" s="208">
        <v>1018.01</v>
      </c>
      <c r="E156" s="221">
        <v>75</v>
      </c>
      <c r="F156" s="220">
        <f>ROUND(B156*E156/100,2)-12</f>
        <v>261</v>
      </c>
      <c r="G156" s="221">
        <f t="shared" si="19"/>
        <v>-757.01</v>
      </c>
      <c r="H156" s="242">
        <f t="shared" si="20"/>
        <v>-91</v>
      </c>
      <c r="I156" s="78">
        <f t="shared" si="21"/>
        <v>-34.86590038314177</v>
      </c>
    </row>
    <row r="157" spans="3:9" ht="13.5" hidden="1" outlineLevel="1" thickBot="1">
      <c r="C157" s="8"/>
      <c r="D157" s="33">
        <f>SUM(D144:D156)</f>
        <v>8821.32</v>
      </c>
      <c r="E157" s="6"/>
      <c r="F157" s="33">
        <f>SUM(F144:F156)</f>
        <v>4694.36</v>
      </c>
      <c r="G157" s="33">
        <f>SUM(G144:G156)</f>
        <v>-4126.959999999999</v>
      </c>
      <c r="H157" s="33">
        <f>SUM(H144:H156)</f>
        <v>-651.9499999999999</v>
      </c>
      <c r="I157" s="138">
        <f t="shared" si="21"/>
        <v>4.644935624877522</v>
      </c>
    </row>
    <row r="158" ht="13.5" hidden="1" outlineLevel="1" thickTop="1"/>
    <row r="159" spans="1:6" ht="12.75" hidden="1" outlineLevel="1">
      <c r="A159" t="s">
        <v>33</v>
      </c>
      <c r="F159" s="2">
        <f>F157</f>
        <v>4694.36</v>
      </c>
    </row>
    <row r="160" spans="2:6" ht="12.75" hidden="1" outlineLevel="1">
      <c r="B160" t="s">
        <v>34</v>
      </c>
      <c r="F160" s="2">
        <f>Cash!N126</f>
        <v>470.02</v>
      </c>
    </row>
    <row r="161" spans="2:6" ht="12.75" hidden="1" outlineLevel="1">
      <c r="B161" t="s">
        <v>39</v>
      </c>
      <c r="F161" s="2">
        <f>Cash!N127</f>
        <v>0</v>
      </c>
    </row>
    <row r="162" spans="2:9" ht="12.75" hidden="1" outlineLevel="1">
      <c r="B162" t="s">
        <v>171</v>
      </c>
      <c r="F162" s="2">
        <f>Cash!N128</f>
        <v>4812.719999999999</v>
      </c>
      <c r="H162" s="45" t="s">
        <v>40</v>
      </c>
      <c r="I162" s="12"/>
    </row>
    <row r="163" spans="6:9" ht="12.75" hidden="1" outlineLevel="1">
      <c r="F163" s="2">
        <f>SUM(F159:F162)</f>
        <v>9977.099999999999</v>
      </c>
      <c r="H163" s="41"/>
      <c r="I163" s="14"/>
    </row>
    <row r="164" spans="1:9" ht="12.75" hidden="1" outlineLevel="1">
      <c r="A164" t="s">
        <v>36</v>
      </c>
      <c r="B164" t="s">
        <v>98</v>
      </c>
      <c r="E164" s="2">
        <v>0</v>
      </c>
      <c r="H164" s="41" t="s">
        <v>41</v>
      </c>
      <c r="I164" s="20">
        <f>F169</f>
        <v>9523.519999999999</v>
      </c>
    </row>
    <row r="165" spans="2:9" ht="12.75" hidden="1" outlineLevel="1">
      <c r="B165" t="s">
        <v>91</v>
      </c>
      <c r="E165" s="2">
        <v>0</v>
      </c>
      <c r="H165" s="41" t="s">
        <v>120</v>
      </c>
      <c r="I165" s="38">
        <f>Units!J97</f>
        <v>10921</v>
      </c>
    </row>
    <row r="166" spans="2:9" ht="12.75" hidden="1" outlineLevel="1">
      <c r="B166" t="s">
        <v>37</v>
      </c>
      <c r="E166" s="8">
        <v>453.58</v>
      </c>
      <c r="H166" s="42" t="s">
        <v>121</v>
      </c>
      <c r="I166" s="16">
        <f>ROUND(I164/I165,2)*100</f>
        <v>87</v>
      </c>
    </row>
    <row r="167" ht="12.75" hidden="1" outlineLevel="1">
      <c r="E167" s="8"/>
    </row>
    <row r="168" ht="12.75" hidden="1" outlineLevel="1">
      <c r="F168" s="2">
        <f>SUM(E164:E166)</f>
        <v>453.58</v>
      </c>
    </row>
    <row r="169" spans="1:6" ht="12.75" collapsed="1">
      <c r="A169" t="s">
        <v>38</v>
      </c>
      <c r="F169" s="240">
        <f>F163-F168</f>
        <v>9523.519999999999</v>
      </c>
    </row>
    <row r="171" ht="12.75">
      <c r="A171" s="4" t="s">
        <v>242</v>
      </c>
    </row>
    <row r="172" spans="1:9" ht="25.5" hidden="1" outlineLevel="1">
      <c r="A172" s="1" t="s">
        <v>24</v>
      </c>
      <c r="B172" s="1" t="s">
        <v>26</v>
      </c>
      <c r="C172" s="3" t="s">
        <v>27</v>
      </c>
      <c r="D172" s="1" t="s">
        <v>25</v>
      </c>
      <c r="E172" s="3" t="s">
        <v>28</v>
      </c>
      <c r="F172" s="3" t="s">
        <v>29</v>
      </c>
      <c r="G172" s="1" t="s">
        <v>30</v>
      </c>
      <c r="H172" s="40" t="s">
        <v>31</v>
      </c>
      <c r="I172" s="122" t="s">
        <v>257</v>
      </c>
    </row>
    <row r="173" spans="1:9" ht="12.75" hidden="1" outlineLevel="1">
      <c r="A173" s="92" t="s">
        <v>32</v>
      </c>
      <c r="B173" s="92">
        <v>1747</v>
      </c>
      <c r="C173" s="3">
        <f aca="true" t="shared" si="22" ref="C173:C181">D173/B173*100</f>
        <v>57.2123640526617</v>
      </c>
      <c r="D173" s="93">
        <v>999.5</v>
      </c>
      <c r="E173" s="83">
        <v>32</v>
      </c>
      <c r="F173" s="2">
        <f>ROUND(B173*E173/100,2)-7.5</f>
        <v>551.54</v>
      </c>
      <c r="G173" s="83">
        <f>F173-D173</f>
        <v>-447.96000000000004</v>
      </c>
      <c r="H173" s="40">
        <f>F173-F144</f>
        <v>139.76</v>
      </c>
      <c r="I173" s="129">
        <f>(1-F144/F173)*100</f>
        <v>25.339957210719078</v>
      </c>
    </row>
    <row r="174" spans="1:9" ht="12.75" hidden="1" outlineLevel="1">
      <c r="A174" s="92" t="s">
        <v>174</v>
      </c>
      <c r="B174" s="92">
        <v>4304</v>
      </c>
      <c r="C174" s="3">
        <f t="shared" si="22"/>
        <v>23.23396840148699</v>
      </c>
      <c r="D174" s="93">
        <v>999.99</v>
      </c>
      <c r="E174" s="83">
        <v>3.75</v>
      </c>
      <c r="F174" s="2">
        <f>ROUND(B174*E174/100,2)-7.5</f>
        <v>153.9</v>
      </c>
      <c r="G174" s="83">
        <f>F174-D174</f>
        <v>-846.09</v>
      </c>
      <c r="H174" s="40">
        <f>F174-F145</f>
        <v>43.040000000000006</v>
      </c>
      <c r="I174" s="129">
        <f>(1-F145/F174)*100</f>
        <v>27.966211825860952</v>
      </c>
    </row>
    <row r="175" spans="1:9" ht="12.75" hidden="1" outlineLevel="1">
      <c r="A175" t="s">
        <v>230</v>
      </c>
      <c r="B175" s="1">
        <v>650</v>
      </c>
      <c r="C175" s="3">
        <f t="shared" si="22"/>
        <v>154.3553846153846</v>
      </c>
      <c r="D175" s="3">
        <v>1003.31</v>
      </c>
      <c r="E175" s="83">
        <v>157</v>
      </c>
      <c r="F175" s="2">
        <f>ROUND(B175*E175/100,2)-7.5</f>
        <v>1013</v>
      </c>
      <c r="G175" s="2">
        <f>F175-D175</f>
        <v>9.690000000000055</v>
      </c>
      <c r="H175" s="40">
        <f>F175-F146</f>
        <v>143</v>
      </c>
      <c r="I175" s="129">
        <f>(1-F146/F175)*100</f>
        <v>14.11648568608095</v>
      </c>
    </row>
    <row r="176" spans="1:9" ht="12.75" customHeight="1" hidden="1" outlineLevel="1">
      <c r="A176" t="s">
        <v>203</v>
      </c>
      <c r="B176" s="1">
        <v>242</v>
      </c>
      <c r="C176" s="3">
        <f t="shared" si="22"/>
        <v>212.9917355371901</v>
      </c>
      <c r="D176" s="3">
        <v>515.44</v>
      </c>
      <c r="E176" s="83">
        <v>7</v>
      </c>
      <c r="F176" s="2">
        <f>ROUND(B176*E176/100,2)-12</f>
        <v>4.940000000000001</v>
      </c>
      <c r="G176" s="2">
        <f aca="true" t="shared" si="23" ref="G176:G184">F176-D176</f>
        <v>-510.50000000000006</v>
      </c>
      <c r="H176" s="40">
        <f>F176-F147</f>
        <v>3.630000000000001</v>
      </c>
      <c r="I176" s="129">
        <f>(1-F147/F176)*100</f>
        <v>73.48178137651821</v>
      </c>
    </row>
    <row r="177" spans="1:9" ht="12.75" hidden="1" outlineLevel="1">
      <c r="A177" s="92" t="s">
        <v>118</v>
      </c>
      <c r="B177" s="92">
        <f>255+250</f>
        <v>505</v>
      </c>
      <c r="C177" s="3">
        <f t="shared" si="22"/>
        <v>396.8336633663367</v>
      </c>
      <c r="D177" s="93">
        <f>1015.65+988.36</f>
        <v>2004.01</v>
      </c>
      <c r="E177" s="83">
        <v>376.5</v>
      </c>
      <c r="F177" s="2">
        <f>ROUND(B177*E177/100,2)-(12+7.5)</f>
        <v>1881.83</v>
      </c>
      <c r="G177" s="83">
        <f t="shared" si="23"/>
        <v>-122.18000000000006</v>
      </c>
      <c r="H177" s="95">
        <f>(255*(E177/100))-F148</f>
        <v>26.665000000000077</v>
      </c>
      <c r="I177" s="129"/>
    </row>
    <row r="178" spans="1:9" ht="12.75" hidden="1" outlineLevel="1">
      <c r="A178" s="92" t="s">
        <v>152</v>
      </c>
      <c r="B178" s="92">
        <v>5090</v>
      </c>
      <c r="C178" s="3">
        <f t="shared" si="22"/>
        <v>4.911198428290766</v>
      </c>
      <c r="D178" s="93">
        <v>249.98</v>
      </c>
      <c r="E178" s="83">
        <v>2.52</v>
      </c>
      <c r="F178" s="2">
        <f>ROUND(B178*E178/100,2)-7.5</f>
        <v>120.77000000000001</v>
      </c>
      <c r="G178" s="83">
        <f t="shared" si="23"/>
        <v>-129.20999999999998</v>
      </c>
      <c r="H178" s="40">
        <f>F178-F149</f>
        <v>55.99000000000001</v>
      </c>
      <c r="I178" s="129">
        <f>(1-F149/F178)*100</f>
        <v>46.3608512047694</v>
      </c>
    </row>
    <row r="179" spans="1:9" ht="12.75" hidden="1" outlineLevel="1">
      <c r="A179" s="92" t="s">
        <v>193</v>
      </c>
      <c r="B179" s="92">
        <v>202</v>
      </c>
      <c r="C179" s="93">
        <f t="shared" si="22"/>
        <v>492.8762376237624</v>
      </c>
      <c r="D179" s="93">
        <v>995.61</v>
      </c>
      <c r="E179" s="83">
        <v>403.25</v>
      </c>
      <c r="F179" s="83">
        <f>ROUND(B179*E179/100,2)-7.5</f>
        <v>807.07</v>
      </c>
      <c r="G179" s="83">
        <f t="shared" si="23"/>
        <v>-188.53999999999996</v>
      </c>
      <c r="H179" s="40">
        <f>F179-F150</f>
        <v>12.629999999999995</v>
      </c>
      <c r="I179" s="129">
        <f>(1-F150/F179)*100</f>
        <v>1.5649200193291746</v>
      </c>
    </row>
    <row r="180" spans="1:9" ht="12.75" hidden="1" outlineLevel="1">
      <c r="A180" s="92" t="s">
        <v>151</v>
      </c>
      <c r="B180" s="92">
        <v>280</v>
      </c>
      <c r="C180" s="93">
        <f t="shared" si="22"/>
        <v>363.54285714285714</v>
      </c>
      <c r="D180" s="93">
        <v>1017.92</v>
      </c>
      <c r="E180" s="83">
        <v>116.75</v>
      </c>
      <c r="F180" s="83">
        <f>ROUND(B180*E180/100,2)-12</f>
        <v>314.9</v>
      </c>
      <c r="G180" s="83">
        <f t="shared" si="23"/>
        <v>-703.02</v>
      </c>
      <c r="H180" s="40">
        <f>F180-F151</f>
        <v>58.099999999999966</v>
      </c>
      <c r="I180" s="129">
        <f>(1-F151/F180)*100</f>
        <v>18.450301683073977</v>
      </c>
    </row>
    <row r="181" spans="1:9" ht="12.75" hidden="1" outlineLevel="1">
      <c r="A181" s="92" t="s">
        <v>184</v>
      </c>
      <c r="B181" s="92">
        <v>755</v>
      </c>
      <c r="C181" s="3">
        <f t="shared" si="22"/>
        <v>132.54834437086095</v>
      </c>
      <c r="D181" s="93">
        <v>1000.74</v>
      </c>
      <c r="E181" s="83">
        <v>104.75</v>
      </c>
      <c r="F181" s="2">
        <f>ROUND(B181*E181/100,2)-7.5</f>
        <v>783.36</v>
      </c>
      <c r="G181" s="83">
        <f t="shared" si="23"/>
        <v>-217.38</v>
      </c>
      <c r="H181" s="40">
        <f>F181-F152</f>
        <v>28.31000000000006</v>
      </c>
      <c r="I181" s="129">
        <f>(1-F152/F181)*100</f>
        <v>3.613919526143794</v>
      </c>
    </row>
    <row r="182" spans="1:9" ht="12.75" hidden="1" outlineLevel="1">
      <c r="A182" t="s">
        <v>61</v>
      </c>
      <c r="B182" s="1">
        <v>2</v>
      </c>
      <c r="C182" s="3">
        <f>D182/B182*100</f>
        <v>258.5</v>
      </c>
      <c r="D182" s="3">
        <v>5.17</v>
      </c>
      <c r="E182" s="83">
        <v>198</v>
      </c>
      <c r="F182" s="2">
        <f>ROUND(B182*E182/100,2)-12</f>
        <v>-8.04</v>
      </c>
      <c r="G182" s="83">
        <f t="shared" si="23"/>
        <v>-13.209999999999999</v>
      </c>
      <c r="H182" s="40">
        <f>F182-F154</f>
        <v>-0.14999999999999947</v>
      </c>
      <c r="I182" s="129">
        <f>(1-F154/F182)*100</f>
        <v>1.8656716417910335</v>
      </c>
    </row>
    <row r="183" spans="1:9" ht="12.75" hidden="1" outlineLevel="1">
      <c r="A183" s="92" t="s">
        <v>209</v>
      </c>
      <c r="B183" s="92">
        <v>4304</v>
      </c>
      <c r="C183" s="3">
        <v>0</v>
      </c>
      <c r="D183" s="93">
        <v>0</v>
      </c>
      <c r="E183" s="83">
        <v>4</v>
      </c>
      <c r="F183" s="2">
        <f>ROUND(B183*E183/100,2)-7.5</f>
        <v>164.66</v>
      </c>
      <c r="G183" s="83">
        <f t="shared" si="23"/>
        <v>164.66</v>
      </c>
      <c r="H183" s="40">
        <f>F183-F155</f>
        <v>-75.32</v>
      </c>
      <c r="I183" s="129">
        <f>(1-F155/F183)*100</f>
        <v>-45.74274262115874</v>
      </c>
    </row>
    <row r="184" spans="1:9" ht="12.75" hidden="1" outlineLevel="1">
      <c r="A184" t="s">
        <v>94</v>
      </c>
      <c r="B184" s="1">
        <v>364</v>
      </c>
      <c r="C184" s="3">
        <f>D184/B184*100</f>
        <v>279.6730769230769</v>
      </c>
      <c r="D184" s="208">
        <v>1018.01</v>
      </c>
      <c r="E184" s="221">
        <v>50</v>
      </c>
      <c r="F184" s="220">
        <f>ROUND(B184*E184/100,2)-12</f>
        <v>170</v>
      </c>
      <c r="G184" s="221">
        <f t="shared" si="23"/>
        <v>-848.01</v>
      </c>
      <c r="H184" s="242">
        <f>F184-F156</f>
        <v>-91</v>
      </c>
      <c r="I184" s="129">
        <f>(1-F156/F184)*100</f>
        <v>-53.52941176470589</v>
      </c>
    </row>
    <row r="185" spans="3:9" ht="13.5" hidden="1" outlineLevel="1" thickBot="1">
      <c r="C185" s="8"/>
      <c r="D185" s="33">
        <f>SUM(D173:D184)</f>
        <v>9809.68</v>
      </c>
      <c r="E185" s="6"/>
      <c r="F185" s="33">
        <f>SUM(F173:F184)</f>
        <v>5957.929999999999</v>
      </c>
      <c r="G185" s="33">
        <f>SUM(G173:G184)</f>
        <v>-3851.75</v>
      </c>
      <c r="H185" s="33">
        <f>SUM(H173:H184)</f>
        <v>344.65500000000014</v>
      </c>
      <c r="I185" s="138">
        <f>(1-F157/F185)*100</f>
        <v>21.208204863098423</v>
      </c>
    </row>
    <row r="186" ht="13.5" hidden="1" outlineLevel="1" thickTop="1">
      <c r="I186" s="138"/>
    </row>
    <row r="187" spans="1:6" ht="12.75" hidden="1" outlineLevel="1">
      <c r="A187" t="s">
        <v>33</v>
      </c>
      <c r="F187" s="2">
        <f>F185</f>
        <v>5957.929999999999</v>
      </c>
    </row>
    <row r="188" spans="2:6" ht="12.75" hidden="1" outlineLevel="1">
      <c r="B188" t="s">
        <v>34</v>
      </c>
      <c r="F188" s="83">
        <f>'Lloyd TSB'!E144</f>
        <v>667.26</v>
      </c>
    </row>
    <row r="189" spans="2:6" ht="12.75" hidden="1" outlineLevel="1">
      <c r="B189" t="s">
        <v>39</v>
      </c>
      <c r="F189" s="83">
        <f>'Charles Schwab'!H47</f>
        <v>0</v>
      </c>
    </row>
    <row r="190" spans="2:9" ht="12.75" hidden="1" outlineLevel="1">
      <c r="B190" t="s">
        <v>171</v>
      </c>
      <c r="F190" s="2">
        <f>Comdirect!H58</f>
        <v>3629.7899999999995</v>
      </c>
      <c r="H190" s="45" t="s">
        <v>40</v>
      </c>
      <c r="I190" s="12"/>
    </row>
    <row r="191" spans="6:9" ht="12.75" hidden="1" outlineLevel="1">
      <c r="F191" s="2">
        <f>SUM(F187:F190)</f>
        <v>10254.98</v>
      </c>
      <c r="H191" s="41"/>
      <c r="I191" s="14"/>
    </row>
    <row r="192" spans="1:9" ht="12.75" hidden="1" outlineLevel="1">
      <c r="A192" t="s">
        <v>36</v>
      </c>
      <c r="B192" t="s">
        <v>98</v>
      </c>
      <c r="E192" s="2">
        <v>0</v>
      </c>
      <c r="H192" s="41" t="s">
        <v>41</v>
      </c>
      <c r="I192" s="20">
        <f>F197</f>
        <v>9622.789999999999</v>
      </c>
    </row>
    <row r="193" spans="2:9" ht="12.75" hidden="1" outlineLevel="1">
      <c r="B193" t="s">
        <v>91</v>
      </c>
      <c r="E193" s="2">
        <v>0</v>
      </c>
      <c r="H193" s="41" t="s">
        <v>120</v>
      </c>
      <c r="I193" s="38">
        <f>Units!J113</f>
        <v>10639</v>
      </c>
    </row>
    <row r="194" spans="2:9" ht="12.75" hidden="1" outlineLevel="1">
      <c r="B194" t="s">
        <v>37</v>
      </c>
      <c r="E194" s="8">
        <v>632.19</v>
      </c>
      <c r="H194" s="42" t="s">
        <v>121</v>
      </c>
      <c r="I194" s="16">
        <f>ROUND(I192/I193,2)*100</f>
        <v>90</v>
      </c>
    </row>
    <row r="195" ht="12.75" hidden="1" outlineLevel="1">
      <c r="E195" s="8"/>
    </row>
    <row r="196" ht="12.75" hidden="1" outlineLevel="1">
      <c r="F196" s="2">
        <f>SUM(E192:E194)</f>
        <v>632.19</v>
      </c>
    </row>
    <row r="197" spans="1:6" ht="12.75" collapsed="1">
      <c r="A197" t="s">
        <v>38</v>
      </c>
      <c r="F197" s="240">
        <f>F191-F196</f>
        <v>9622.789999999999</v>
      </c>
    </row>
    <row r="199" ht="12.75">
      <c r="A199" s="4" t="s">
        <v>248</v>
      </c>
    </row>
    <row r="200" spans="1:9" ht="25.5" hidden="1" outlineLevel="1">
      <c r="A200" s="1" t="s">
        <v>24</v>
      </c>
      <c r="B200" s="1" t="s">
        <v>26</v>
      </c>
      <c r="C200" s="3" t="s">
        <v>27</v>
      </c>
      <c r="D200" s="1" t="s">
        <v>25</v>
      </c>
      <c r="E200" s="3" t="s">
        <v>28</v>
      </c>
      <c r="F200" s="3" t="s">
        <v>29</v>
      </c>
      <c r="G200" s="1" t="s">
        <v>30</v>
      </c>
      <c r="H200" s="40" t="s">
        <v>31</v>
      </c>
      <c r="I200" s="122" t="s">
        <v>257</v>
      </c>
    </row>
    <row r="201" spans="1:9" ht="12.75" customHeight="1" hidden="1" outlineLevel="1">
      <c r="A201" s="92" t="s">
        <v>32</v>
      </c>
      <c r="B201" s="92">
        <v>1747</v>
      </c>
      <c r="C201" s="3">
        <f aca="true" t="shared" si="24" ref="C201:C209">D201/B201*100</f>
        <v>57.2123640526617</v>
      </c>
      <c r="D201" s="93">
        <v>999.5</v>
      </c>
      <c r="E201" s="83">
        <v>38</v>
      </c>
      <c r="F201" s="2">
        <f>ROUND(B201*E201/100,2)-7.5</f>
        <v>656.36</v>
      </c>
      <c r="G201" s="83">
        <f>F201-D201</f>
        <v>-343.14</v>
      </c>
      <c r="H201" s="40">
        <f>F201-F173</f>
        <v>104.82000000000005</v>
      </c>
      <c r="I201" s="129">
        <f aca="true" t="shared" si="25" ref="I201:I212">(1-F173/F201)*100</f>
        <v>15.969894570053022</v>
      </c>
    </row>
    <row r="202" spans="1:9" ht="12.75" hidden="1" outlineLevel="1">
      <c r="A202" s="92" t="s">
        <v>174</v>
      </c>
      <c r="B202" s="92">
        <v>4304</v>
      </c>
      <c r="C202" s="3">
        <f t="shared" si="24"/>
        <v>23.23396840148699</v>
      </c>
      <c r="D202" s="93">
        <v>999.99</v>
      </c>
      <c r="E202" s="83">
        <v>4.75</v>
      </c>
      <c r="F202" s="2">
        <f>ROUND(B202*E202/100,2)-7.5</f>
        <v>196.94</v>
      </c>
      <c r="G202" s="83">
        <f>F202-D202</f>
        <v>-803.05</v>
      </c>
      <c r="H202" s="40">
        <f aca="true" t="shared" si="26" ref="H202:H212">F202-F174</f>
        <v>43.03999999999999</v>
      </c>
      <c r="I202" s="129">
        <f t="shared" si="25"/>
        <v>21.854371889915704</v>
      </c>
    </row>
    <row r="203" spans="1:9" ht="12.75" hidden="1" outlineLevel="1">
      <c r="A203" t="s">
        <v>230</v>
      </c>
      <c r="B203" s="1">
        <v>650</v>
      </c>
      <c r="C203" s="3">
        <f t="shared" si="24"/>
        <v>154.3553846153846</v>
      </c>
      <c r="D203" s="3">
        <v>1003.31</v>
      </c>
      <c r="E203" s="83">
        <v>147</v>
      </c>
      <c r="F203" s="2">
        <f>ROUND(B203*E203/100,2)-7.5</f>
        <v>948</v>
      </c>
      <c r="G203" s="2">
        <f>F203-D203</f>
        <v>-55.309999999999945</v>
      </c>
      <c r="H203" s="40">
        <f t="shared" si="26"/>
        <v>-65</v>
      </c>
      <c r="I203" s="129">
        <f t="shared" si="25"/>
        <v>-6.856540084388185</v>
      </c>
    </row>
    <row r="204" spans="1:9" ht="12.75" hidden="1" outlineLevel="1">
      <c r="A204" t="s">
        <v>203</v>
      </c>
      <c r="B204" s="1">
        <v>242</v>
      </c>
      <c r="C204" s="3">
        <f t="shared" si="24"/>
        <v>212.9917355371901</v>
      </c>
      <c r="D204" s="3">
        <v>515.44</v>
      </c>
      <c r="E204" s="83">
        <v>11.75</v>
      </c>
      <c r="F204" s="2">
        <f>ROUND(B204*E204/100,2)-12</f>
        <v>16.44</v>
      </c>
      <c r="G204" s="2">
        <f aca="true" t="shared" si="27" ref="G204:G212">F204-D204</f>
        <v>-499.00000000000006</v>
      </c>
      <c r="H204" s="40">
        <f t="shared" si="26"/>
        <v>11.5</v>
      </c>
      <c r="I204" s="129">
        <f t="shared" si="25"/>
        <v>69.95133819951337</v>
      </c>
    </row>
    <row r="205" spans="1:9" ht="12.75" hidden="1" outlineLevel="1">
      <c r="A205" s="92" t="s">
        <v>118</v>
      </c>
      <c r="B205" s="92">
        <f>255+250</f>
        <v>505</v>
      </c>
      <c r="C205" s="3">
        <f t="shared" si="24"/>
        <v>396.8336633663367</v>
      </c>
      <c r="D205" s="93">
        <f>1015.65+988.36</f>
        <v>2004.01</v>
      </c>
      <c r="E205" s="83">
        <v>369.75</v>
      </c>
      <c r="F205" s="2">
        <f>ROUND(B205*E205/100,2)-(12+7.5)</f>
        <v>1847.74</v>
      </c>
      <c r="G205" s="83">
        <f t="shared" si="27"/>
        <v>-156.26999999999998</v>
      </c>
      <c r="H205" s="95">
        <f t="shared" si="26"/>
        <v>-34.08999999999992</v>
      </c>
      <c r="I205" s="129">
        <f t="shared" si="25"/>
        <v>-1.8449565415047608</v>
      </c>
    </row>
    <row r="206" spans="1:9" ht="12.75" hidden="1" outlineLevel="1">
      <c r="A206" s="92" t="s">
        <v>152</v>
      </c>
      <c r="B206" s="92">
        <v>5090</v>
      </c>
      <c r="C206" s="3">
        <f t="shared" si="24"/>
        <v>4.911198428290766</v>
      </c>
      <c r="D206" s="93">
        <v>249.98</v>
      </c>
      <c r="E206" s="83">
        <v>2.08</v>
      </c>
      <c r="F206" s="2">
        <f>ROUND(B206*E206/100,2)-7.5</f>
        <v>98.37</v>
      </c>
      <c r="G206" s="83">
        <f t="shared" si="27"/>
        <v>-151.60999999999999</v>
      </c>
      <c r="H206" s="40">
        <f t="shared" si="26"/>
        <v>-22.400000000000006</v>
      </c>
      <c r="I206" s="129">
        <f t="shared" si="25"/>
        <v>-22.77117007217648</v>
      </c>
    </row>
    <row r="207" spans="1:9" ht="12.75" hidden="1" outlineLevel="1">
      <c r="A207" s="92" t="s">
        <v>193</v>
      </c>
      <c r="B207" s="92">
        <v>202</v>
      </c>
      <c r="C207" s="93">
        <f t="shared" si="24"/>
        <v>492.8762376237624</v>
      </c>
      <c r="D207" s="93">
        <v>995.61</v>
      </c>
      <c r="E207" s="83">
        <v>385</v>
      </c>
      <c r="F207" s="83">
        <f>ROUND(B207*E207/100,2)-7.5</f>
        <v>770.2</v>
      </c>
      <c r="G207" s="83">
        <f t="shared" si="27"/>
        <v>-225.40999999999997</v>
      </c>
      <c r="H207" s="40">
        <f t="shared" si="26"/>
        <v>-36.870000000000005</v>
      </c>
      <c r="I207" s="129">
        <f t="shared" si="25"/>
        <v>-4.7870682939496145</v>
      </c>
    </row>
    <row r="208" spans="1:9" ht="12.75" hidden="1" outlineLevel="1">
      <c r="A208" s="92" t="s">
        <v>151</v>
      </c>
      <c r="B208" s="92">
        <v>280</v>
      </c>
      <c r="C208" s="93">
        <f t="shared" si="24"/>
        <v>363.54285714285714</v>
      </c>
      <c r="D208" s="93">
        <v>1017.92</v>
      </c>
      <c r="E208" s="83">
        <v>147</v>
      </c>
      <c r="F208" s="83">
        <f>ROUND(B208*E208/100,2)-12</f>
        <v>399.6</v>
      </c>
      <c r="G208" s="83">
        <f t="shared" si="27"/>
        <v>-618.3199999999999</v>
      </c>
      <c r="H208" s="40">
        <f t="shared" si="26"/>
        <v>84.70000000000005</v>
      </c>
      <c r="I208" s="129">
        <f t="shared" si="25"/>
        <v>21.196196196196205</v>
      </c>
    </row>
    <row r="209" spans="1:9" ht="12.75" hidden="1" outlineLevel="1">
      <c r="A209" s="92" t="s">
        <v>184</v>
      </c>
      <c r="B209" s="92">
        <v>755</v>
      </c>
      <c r="C209" s="3">
        <f t="shared" si="24"/>
        <v>132.54834437086095</v>
      </c>
      <c r="D209" s="93">
        <v>1000.74</v>
      </c>
      <c r="E209" s="83">
        <v>78.75</v>
      </c>
      <c r="F209" s="2">
        <f>ROUND(B209*E209/100,2)-7.5</f>
        <v>587.06</v>
      </c>
      <c r="G209" s="83">
        <f t="shared" si="27"/>
        <v>-413.68000000000006</v>
      </c>
      <c r="H209" s="40">
        <f t="shared" si="26"/>
        <v>-196.30000000000007</v>
      </c>
      <c r="I209" s="129">
        <f t="shared" si="25"/>
        <v>-33.43780874186626</v>
      </c>
    </row>
    <row r="210" spans="1:9" ht="12.75" hidden="1" outlineLevel="1">
      <c r="A210" t="s">
        <v>61</v>
      </c>
      <c r="B210" s="1">
        <v>2</v>
      </c>
      <c r="C210" s="3">
        <f>D210/B210*100</f>
        <v>258.5</v>
      </c>
      <c r="D210" s="3">
        <v>5.17</v>
      </c>
      <c r="E210" s="83">
        <v>202</v>
      </c>
      <c r="F210" s="2">
        <f>ROUND(B210*E210/100,2)-12</f>
        <v>-7.96</v>
      </c>
      <c r="G210" s="83">
        <f t="shared" si="27"/>
        <v>-13.129999999999999</v>
      </c>
      <c r="H210" s="40">
        <f t="shared" si="26"/>
        <v>0.07999999999999918</v>
      </c>
      <c r="I210" s="129">
        <f t="shared" si="25"/>
        <v>-1.0050251256281229</v>
      </c>
    </row>
    <row r="211" spans="1:9" ht="12.75" hidden="1" outlineLevel="1">
      <c r="A211" s="92" t="s">
        <v>209</v>
      </c>
      <c r="B211" s="92">
        <v>4304</v>
      </c>
      <c r="C211" s="3">
        <v>0</v>
      </c>
      <c r="D211" s="93">
        <v>0</v>
      </c>
      <c r="E211" s="83">
        <v>4.75</v>
      </c>
      <c r="F211" s="2">
        <f>ROUND(B211*E211/100,2)-7.5</f>
        <v>196.94</v>
      </c>
      <c r="G211" s="83">
        <f t="shared" si="27"/>
        <v>196.94</v>
      </c>
      <c r="H211" s="40">
        <f t="shared" si="26"/>
        <v>32.28</v>
      </c>
      <c r="I211" s="129">
        <f t="shared" si="25"/>
        <v>16.390778917436787</v>
      </c>
    </row>
    <row r="212" spans="1:9" ht="12.75" hidden="1" outlineLevel="1">
      <c r="A212" t="s">
        <v>94</v>
      </c>
      <c r="B212" s="1">
        <v>364</v>
      </c>
      <c r="C212" s="3">
        <f>D212/B212*100</f>
        <v>279.6730769230769</v>
      </c>
      <c r="D212" s="208">
        <v>1018.01</v>
      </c>
      <c r="E212" s="221">
        <v>90</v>
      </c>
      <c r="F212" s="220">
        <f>ROUND(B212*E212/100,2)-12</f>
        <v>315.6</v>
      </c>
      <c r="G212" s="221">
        <f t="shared" si="27"/>
        <v>-702.41</v>
      </c>
      <c r="H212" s="242">
        <f t="shared" si="26"/>
        <v>145.60000000000002</v>
      </c>
      <c r="I212" s="129">
        <f t="shared" si="25"/>
        <v>46.134347275031686</v>
      </c>
    </row>
    <row r="213" spans="3:9" ht="13.5" hidden="1" outlineLevel="1" thickBot="1">
      <c r="C213" s="8"/>
      <c r="D213" s="33">
        <f>SUM(D201:D212)</f>
        <v>9809.68</v>
      </c>
      <c r="E213" s="6"/>
      <c r="F213" s="33">
        <f>SUM(F201:F212)</f>
        <v>6025.290000000001</v>
      </c>
      <c r="G213" s="33">
        <f>SUM(G201:G212)</f>
        <v>-3784.39</v>
      </c>
      <c r="H213" s="33">
        <f>SUM(H201:H212)</f>
        <v>67.36000000000011</v>
      </c>
      <c r="I213" s="138">
        <f>(1-F185/F213)*100</f>
        <v>1.1179544884976744</v>
      </c>
    </row>
    <row r="214" ht="13.5" hidden="1" outlineLevel="1" thickTop="1"/>
    <row r="215" spans="1:6" ht="12.75" hidden="1" outlineLevel="1">
      <c r="A215" t="s">
        <v>33</v>
      </c>
      <c r="F215" s="2">
        <f>F213</f>
        <v>6025.290000000001</v>
      </c>
    </row>
    <row r="216" spans="2:6" ht="11.25" customHeight="1" hidden="1" outlineLevel="1">
      <c r="B216" t="s">
        <v>34</v>
      </c>
      <c r="F216" s="83">
        <f>Cash!N167</f>
        <v>662.1899999999999</v>
      </c>
    </row>
    <row r="217" spans="2:6" ht="12.75" hidden="1" outlineLevel="1">
      <c r="B217" t="s">
        <v>39</v>
      </c>
      <c r="F217" s="83">
        <f>Cash!N168</f>
        <v>11.239999999999998</v>
      </c>
    </row>
    <row r="218" spans="2:9" ht="12.75" hidden="1" outlineLevel="1">
      <c r="B218" t="s">
        <v>171</v>
      </c>
      <c r="F218" s="2">
        <f>Cash!N169</f>
        <v>4039.0499999999993</v>
      </c>
      <c r="H218" s="45" t="s">
        <v>40</v>
      </c>
      <c r="I218" s="12"/>
    </row>
    <row r="219" spans="6:9" ht="12.75" hidden="1" outlineLevel="1">
      <c r="F219" s="2">
        <f>SUM(F215:F218)</f>
        <v>10737.77</v>
      </c>
      <c r="H219" s="41"/>
      <c r="I219" s="14"/>
    </row>
    <row r="220" spans="1:9" ht="12.75" hidden="1" outlineLevel="1">
      <c r="A220" t="s">
        <v>36</v>
      </c>
      <c r="B220" t="s">
        <v>98</v>
      </c>
      <c r="E220" s="2">
        <v>0</v>
      </c>
      <c r="H220" s="41" t="s">
        <v>41</v>
      </c>
      <c r="I220" s="20">
        <f>F225</f>
        <v>10075.58</v>
      </c>
    </row>
    <row r="221" spans="2:9" ht="12.75" hidden="1" outlineLevel="1">
      <c r="B221" t="s">
        <v>91</v>
      </c>
      <c r="E221" s="2">
        <v>0</v>
      </c>
      <c r="H221" s="41" t="s">
        <v>120</v>
      </c>
      <c r="I221" s="38">
        <f>Units!J129</f>
        <v>11045</v>
      </c>
    </row>
    <row r="222" spans="2:9" ht="12.75" hidden="1" outlineLevel="1">
      <c r="B222" t="s">
        <v>37</v>
      </c>
      <c r="E222" s="8">
        <f>632.19+30</f>
        <v>662.19</v>
      </c>
      <c r="H222" s="42" t="s">
        <v>121</v>
      </c>
      <c r="I222" s="16">
        <f>ROUND(I220/I221,2)*100</f>
        <v>91</v>
      </c>
    </row>
    <row r="223" ht="12.75" hidden="1" outlineLevel="1"/>
    <row r="224" ht="12.75" hidden="1" outlineLevel="1">
      <c r="F224" s="2">
        <f>SUM(E220:E222)</f>
        <v>662.19</v>
      </c>
    </row>
    <row r="225" spans="1:6" ht="12.75" collapsed="1">
      <c r="A225" t="s">
        <v>38</v>
      </c>
      <c r="F225" s="240">
        <f>F219-F224</f>
        <v>10075.58</v>
      </c>
    </row>
    <row r="227" ht="12.75">
      <c r="A227" s="4" t="s">
        <v>249</v>
      </c>
    </row>
    <row r="228" spans="1:9" ht="25.5" hidden="1" outlineLevel="1">
      <c r="A228" s="1" t="s">
        <v>24</v>
      </c>
      <c r="B228" s="1" t="s">
        <v>26</v>
      </c>
      <c r="C228" s="3" t="s">
        <v>27</v>
      </c>
      <c r="D228" s="1" t="s">
        <v>25</v>
      </c>
      <c r="E228" s="3" t="s">
        <v>28</v>
      </c>
      <c r="F228" s="3" t="s">
        <v>29</v>
      </c>
      <c r="G228" s="1" t="s">
        <v>30</v>
      </c>
      <c r="H228" s="40" t="s">
        <v>31</v>
      </c>
      <c r="I228" s="122" t="s">
        <v>257</v>
      </c>
    </row>
    <row r="229" spans="1:9" ht="12.75" hidden="1" outlineLevel="1">
      <c r="A229" s="92" t="s">
        <v>32</v>
      </c>
      <c r="B229" s="92">
        <v>1747</v>
      </c>
      <c r="C229" s="3">
        <f aca="true" t="shared" si="28" ref="C229:C237">D229/B229*100</f>
        <v>57.2123640526617</v>
      </c>
      <c r="D229" s="93">
        <v>999.5</v>
      </c>
      <c r="E229" s="83">
        <v>32</v>
      </c>
      <c r="F229" s="2">
        <f>ROUND(B229*E229/100,2)-7.5</f>
        <v>551.54</v>
      </c>
      <c r="G229" s="83">
        <f>F229-D229</f>
        <v>-447.96000000000004</v>
      </c>
      <c r="H229" s="40">
        <f>F229-F201</f>
        <v>-104.82000000000005</v>
      </c>
      <c r="I229" s="129">
        <f>(1-F201/F229)*100</f>
        <v>-19.004967908039315</v>
      </c>
    </row>
    <row r="230" spans="1:9" ht="12.75" hidden="1" outlineLevel="1">
      <c r="A230" s="92" t="s">
        <v>174</v>
      </c>
      <c r="B230" s="92">
        <v>4304</v>
      </c>
      <c r="C230" s="3">
        <f t="shared" si="28"/>
        <v>23.23396840148699</v>
      </c>
      <c r="D230" s="93">
        <v>999.99</v>
      </c>
      <c r="E230" s="83">
        <v>4.25</v>
      </c>
      <c r="F230" s="2">
        <f>ROUND(B230*E230/100,2)-7.5</f>
        <v>175.42</v>
      </c>
      <c r="G230" s="83">
        <f>F230-D230</f>
        <v>-824.57</v>
      </c>
      <c r="H230" s="40">
        <f aca="true" t="shared" si="29" ref="H230:H240">F230-F202</f>
        <v>-21.52000000000001</v>
      </c>
      <c r="I230" s="129">
        <f>(1-F202/F230)*100</f>
        <v>-12.267700376239898</v>
      </c>
    </row>
    <row r="231" spans="1:9" ht="12.75" hidden="1" outlineLevel="1">
      <c r="A231" t="s">
        <v>230</v>
      </c>
      <c r="B231" s="1">
        <v>650</v>
      </c>
      <c r="C231" s="3">
        <f t="shared" si="28"/>
        <v>154.3553846153846</v>
      </c>
      <c r="D231" s="3">
        <v>1003.31</v>
      </c>
      <c r="E231" s="83">
        <v>147</v>
      </c>
      <c r="F231" s="2">
        <f>ROUND(B231*E231/100,2)-7.5</f>
        <v>948</v>
      </c>
      <c r="G231" s="2">
        <f>F231-D231</f>
        <v>-55.309999999999945</v>
      </c>
      <c r="H231" s="40">
        <f t="shared" si="29"/>
        <v>0</v>
      </c>
      <c r="I231" s="129">
        <f aca="true" t="shared" si="30" ref="I231:I240">(1-F203/F231)*100</f>
        <v>0</v>
      </c>
    </row>
    <row r="232" spans="1:9" ht="12.75" hidden="1" outlineLevel="1">
      <c r="A232" t="s">
        <v>203</v>
      </c>
      <c r="B232" s="1">
        <f>242+1758</f>
        <v>2000</v>
      </c>
      <c r="C232" s="3">
        <f>D232/B232*100</f>
        <v>39.128</v>
      </c>
      <c r="D232" s="3">
        <f>515.44+267.12</f>
        <v>782.5600000000001</v>
      </c>
      <c r="E232" s="83">
        <v>13</v>
      </c>
      <c r="F232" s="2">
        <f>ROUND(B232*E232/100,2)-12</f>
        <v>248</v>
      </c>
      <c r="G232" s="2">
        <f>F232-D232</f>
        <v>-534.5600000000001</v>
      </c>
      <c r="H232" s="40"/>
      <c r="I232" s="129"/>
    </row>
    <row r="233" spans="1:9" ht="12.75" hidden="1" outlineLevel="1">
      <c r="A233" s="92" t="s">
        <v>118</v>
      </c>
      <c r="B233" s="92">
        <f>255+250</f>
        <v>505</v>
      </c>
      <c r="C233" s="3">
        <f t="shared" si="28"/>
        <v>396.8336633663367</v>
      </c>
      <c r="D233" s="93">
        <f>1015.65+988.36</f>
        <v>2004.01</v>
      </c>
      <c r="E233" s="83">
        <v>418.25</v>
      </c>
      <c r="F233" s="2">
        <f>ROUND(B233*E233/100,2)-(12+7.5)</f>
        <v>2092.66</v>
      </c>
      <c r="G233" s="83">
        <f aca="true" t="shared" si="31" ref="G233:G240">F233-D233</f>
        <v>88.64999999999986</v>
      </c>
      <c r="H233" s="95">
        <f t="shared" si="29"/>
        <v>244.91999999999985</v>
      </c>
      <c r="I233" s="129">
        <f>(1-F205/F233)*100</f>
        <v>11.703764586698263</v>
      </c>
    </row>
    <row r="234" spans="1:9" ht="12.75" hidden="1" outlineLevel="1">
      <c r="A234" s="92" t="s">
        <v>152</v>
      </c>
      <c r="B234" s="92">
        <v>5090</v>
      </c>
      <c r="C234" s="3">
        <f t="shared" si="28"/>
        <v>4.911198428290766</v>
      </c>
      <c r="D234" s="93">
        <v>249.98</v>
      </c>
      <c r="E234" s="83">
        <v>1.8</v>
      </c>
      <c r="F234" s="2">
        <f>ROUND(B234*E234/100,2)-7.5</f>
        <v>84.12</v>
      </c>
      <c r="G234" s="83">
        <f t="shared" si="31"/>
        <v>-165.85999999999999</v>
      </c>
      <c r="H234" s="40">
        <f t="shared" si="29"/>
        <v>-14.25</v>
      </c>
      <c r="I234" s="129">
        <f>(1-F206/F234)*100</f>
        <v>-16.94008559201141</v>
      </c>
    </row>
    <row r="235" spans="1:9" ht="12.75" hidden="1" outlineLevel="1">
      <c r="A235" s="92" t="s">
        <v>193</v>
      </c>
      <c r="B235" s="92">
        <v>202</v>
      </c>
      <c r="C235" s="93">
        <f t="shared" si="28"/>
        <v>492.8762376237624</v>
      </c>
      <c r="D235" s="93">
        <v>995.61</v>
      </c>
      <c r="E235" s="83">
        <v>412.5</v>
      </c>
      <c r="F235" s="83">
        <f>ROUND(B235*E235/100,2)-7.5</f>
        <v>825.75</v>
      </c>
      <c r="G235" s="83">
        <f t="shared" si="31"/>
        <v>-169.86</v>
      </c>
      <c r="H235" s="40">
        <f t="shared" si="29"/>
        <v>55.549999999999955</v>
      </c>
      <c r="I235" s="129">
        <f>(1-F207/F235)*100</f>
        <v>6.727217680896147</v>
      </c>
    </row>
    <row r="236" spans="1:9" ht="12.75" hidden="1" outlineLevel="1">
      <c r="A236" s="92" t="s">
        <v>151</v>
      </c>
      <c r="B236" s="92">
        <v>280</v>
      </c>
      <c r="C236" s="93">
        <f t="shared" si="28"/>
        <v>363.54285714285714</v>
      </c>
      <c r="D236" s="93">
        <v>1017.92</v>
      </c>
      <c r="E236" s="83">
        <v>126</v>
      </c>
      <c r="F236" s="83">
        <f>ROUND(B236*E236/100,2)-12</f>
        <v>340.8</v>
      </c>
      <c r="G236" s="83">
        <f t="shared" si="31"/>
        <v>-677.1199999999999</v>
      </c>
      <c r="H236" s="40">
        <f t="shared" si="29"/>
        <v>-58.80000000000001</v>
      </c>
      <c r="I236" s="129">
        <f t="shared" si="30"/>
        <v>-17.253521126760575</v>
      </c>
    </row>
    <row r="237" spans="1:9" ht="12.75" hidden="1" outlineLevel="1">
      <c r="A237" s="92" t="s">
        <v>184</v>
      </c>
      <c r="B237" s="92">
        <v>755</v>
      </c>
      <c r="C237" s="3">
        <f t="shared" si="28"/>
        <v>132.54834437086095</v>
      </c>
      <c r="D237" s="93">
        <v>1000.74</v>
      </c>
      <c r="E237" s="83">
        <v>84</v>
      </c>
      <c r="F237" s="2">
        <f>ROUND(B237*E237/100,2)-7.5</f>
        <v>626.7</v>
      </c>
      <c r="G237" s="83">
        <f t="shared" si="31"/>
        <v>-374.03999999999996</v>
      </c>
      <c r="H237" s="40">
        <f t="shared" si="29"/>
        <v>39.6400000000001</v>
      </c>
      <c r="I237" s="129">
        <f t="shared" si="30"/>
        <v>6.325195468326172</v>
      </c>
    </row>
    <row r="238" spans="1:9" ht="12.75" hidden="1" outlineLevel="1">
      <c r="A238" t="s">
        <v>61</v>
      </c>
      <c r="B238" s="1">
        <v>2</v>
      </c>
      <c r="C238" s="3">
        <f>D238/B238*100</f>
        <v>258.5</v>
      </c>
      <c r="D238" s="3">
        <v>5.17</v>
      </c>
      <c r="E238" s="83">
        <v>191.5</v>
      </c>
      <c r="F238" s="2">
        <f>ROUND(B238*E238/100,2)-12</f>
        <v>-8.17</v>
      </c>
      <c r="G238" s="83">
        <f t="shared" si="31"/>
        <v>-13.34</v>
      </c>
      <c r="H238" s="40">
        <f t="shared" si="29"/>
        <v>-0.20999999999999996</v>
      </c>
      <c r="I238" s="129">
        <f t="shared" si="30"/>
        <v>2.5703794369644983</v>
      </c>
    </row>
    <row r="239" spans="1:9" ht="12.75" hidden="1" outlineLevel="1">
      <c r="A239" s="92" t="s">
        <v>209</v>
      </c>
      <c r="B239" s="92">
        <v>4304</v>
      </c>
      <c r="C239" s="3">
        <v>0</v>
      </c>
      <c r="D239" s="93">
        <v>0</v>
      </c>
      <c r="E239" s="83">
        <v>4.75</v>
      </c>
      <c r="F239" s="2">
        <f>ROUND(B239*E239/100,2)-7.5</f>
        <v>196.94</v>
      </c>
      <c r="G239" s="83">
        <f t="shared" si="31"/>
        <v>196.94</v>
      </c>
      <c r="H239" s="40">
        <f t="shared" si="29"/>
        <v>0</v>
      </c>
      <c r="I239" s="129">
        <f t="shared" si="30"/>
        <v>0</v>
      </c>
    </row>
    <row r="240" spans="1:9" ht="11.25" customHeight="1" hidden="1" outlineLevel="1">
      <c r="A240" t="s">
        <v>94</v>
      </c>
      <c r="B240" s="1">
        <v>364</v>
      </c>
      <c r="C240" s="3">
        <f>D240/B240*100</f>
        <v>279.6730769230769</v>
      </c>
      <c r="D240" s="208">
        <v>1018.01</v>
      </c>
      <c r="E240" s="221">
        <v>100</v>
      </c>
      <c r="F240" s="220">
        <f>ROUND(B240*E240/100,2)-12</f>
        <v>352</v>
      </c>
      <c r="G240" s="221">
        <f t="shared" si="31"/>
        <v>-666.01</v>
      </c>
      <c r="H240" s="242">
        <f t="shared" si="29"/>
        <v>36.39999999999998</v>
      </c>
      <c r="I240" s="129">
        <f t="shared" si="30"/>
        <v>10.34090909090909</v>
      </c>
    </row>
    <row r="241" spans="3:9" ht="13.5" hidden="1" outlineLevel="1" thickBot="1">
      <c r="C241" s="8"/>
      <c r="D241" s="33">
        <f>SUM(D229:D240)</f>
        <v>10076.8</v>
      </c>
      <c r="E241" s="33"/>
      <c r="F241" s="33">
        <f>SUM(F229:F240)</f>
        <v>6433.759999999999</v>
      </c>
      <c r="G241" s="33">
        <f>SUM(G229:G240)</f>
        <v>-3643.04</v>
      </c>
      <c r="H241" s="33">
        <f>SUM(H229:H240)</f>
        <v>176.9099999999998</v>
      </c>
      <c r="I241" s="249">
        <f>(1-F213/F241)*100</f>
        <v>6.348853547536715</v>
      </c>
    </row>
    <row r="242" ht="13.5" hidden="1" outlineLevel="1" thickTop="1">
      <c r="I242" s="129"/>
    </row>
    <row r="243" spans="1:9" ht="12.75" hidden="1" outlineLevel="1">
      <c r="A243" t="s">
        <v>33</v>
      </c>
      <c r="F243" s="2">
        <f>F241</f>
        <v>6433.759999999999</v>
      </c>
      <c r="I243" s="129"/>
    </row>
    <row r="244" spans="2:9" ht="12.75" hidden="1" outlineLevel="1">
      <c r="B244" t="s">
        <v>34</v>
      </c>
      <c r="F244" s="83">
        <f>Cash!N189</f>
        <v>4159.360000000001</v>
      </c>
      <c r="I244" s="129"/>
    </row>
    <row r="245" spans="2:9" ht="12.75" hidden="1" outlineLevel="1">
      <c r="B245" t="s">
        <v>39</v>
      </c>
      <c r="F245" s="83">
        <f>Cash!N190</f>
        <v>17.870000000000005</v>
      </c>
      <c r="I245" s="138"/>
    </row>
    <row r="246" spans="2:6" ht="12.75" hidden="1" outlineLevel="1">
      <c r="B246" t="s">
        <v>171</v>
      </c>
      <c r="F246" s="83">
        <f>Cash!N191</f>
        <v>0</v>
      </c>
    </row>
    <row r="247" spans="2:9" ht="12.75" hidden="1" outlineLevel="1">
      <c r="B247" t="s">
        <v>35</v>
      </c>
      <c r="F247" s="2">
        <v>0</v>
      </c>
      <c r="H247" s="45" t="s">
        <v>40</v>
      </c>
      <c r="I247" s="12"/>
    </row>
    <row r="248" spans="6:9" ht="12.75" hidden="1" outlineLevel="1">
      <c r="F248" s="2">
        <f>SUM(F243:F247)</f>
        <v>10610.99</v>
      </c>
      <c r="H248" s="41"/>
      <c r="I248" s="14"/>
    </row>
    <row r="249" spans="1:9" ht="12.75" hidden="1" outlineLevel="1">
      <c r="A249" t="s">
        <v>36</v>
      </c>
      <c r="B249" t="s">
        <v>98</v>
      </c>
      <c r="E249" s="2">
        <v>0</v>
      </c>
      <c r="H249" s="41" t="s">
        <v>41</v>
      </c>
      <c r="I249" s="20">
        <f>F253</f>
        <v>10590.99</v>
      </c>
    </row>
    <row r="250" spans="2:9" ht="12.75" hidden="1" outlineLevel="1">
      <c r="B250" t="s">
        <v>91</v>
      </c>
      <c r="E250" s="2">
        <v>0</v>
      </c>
      <c r="H250" s="41" t="s">
        <v>120</v>
      </c>
      <c r="I250" s="38">
        <f>Units!J145</f>
        <v>11441</v>
      </c>
    </row>
    <row r="251" spans="2:9" ht="12.75" hidden="1" outlineLevel="1">
      <c r="B251" t="s">
        <v>37</v>
      </c>
      <c r="E251" s="8">
        <v>20</v>
      </c>
      <c r="H251" s="42" t="s">
        <v>121</v>
      </c>
      <c r="I251" s="16">
        <f>ROUND(I249/I250,2)*100</f>
        <v>93</v>
      </c>
    </row>
    <row r="252" ht="12.75" hidden="1" outlineLevel="1">
      <c r="F252" s="2">
        <f>SUM(E249:E251)</f>
        <v>20</v>
      </c>
    </row>
    <row r="253" spans="1:6" ht="12.75" collapsed="1">
      <c r="A253" t="s">
        <v>38</v>
      </c>
      <c r="F253" s="240">
        <f>F248-F252</f>
        <v>10590.99</v>
      </c>
    </row>
    <row r="255" ht="12.75">
      <c r="A255" s="4" t="s">
        <v>250</v>
      </c>
    </row>
    <row r="256" spans="1:9" ht="25.5" hidden="1" outlineLevel="1">
      <c r="A256" s="1" t="s">
        <v>24</v>
      </c>
      <c r="B256" s="1" t="s">
        <v>26</v>
      </c>
      <c r="C256" s="3" t="s">
        <v>27</v>
      </c>
      <c r="D256" s="1" t="s">
        <v>25</v>
      </c>
      <c r="E256" s="3" t="s">
        <v>28</v>
      </c>
      <c r="F256" s="3" t="s">
        <v>29</v>
      </c>
      <c r="G256" s="1" t="s">
        <v>30</v>
      </c>
      <c r="H256" s="40" t="s">
        <v>31</v>
      </c>
      <c r="I256" s="122" t="s">
        <v>257</v>
      </c>
    </row>
    <row r="257" spans="1:9" ht="12.75" hidden="1" outlineLevel="1">
      <c r="A257" s="92" t="s">
        <v>32</v>
      </c>
      <c r="B257" s="92">
        <v>1747</v>
      </c>
      <c r="C257" s="3">
        <f aca="true" t="shared" si="32" ref="C257:C267">D257/B257*100</f>
        <v>57.2123640526617</v>
      </c>
      <c r="D257" s="93">
        <v>999.5</v>
      </c>
      <c r="E257" s="83">
        <v>28</v>
      </c>
      <c r="F257" s="2">
        <f>ROUND(B257*E257/100,2)-7.5</f>
        <v>481.66</v>
      </c>
      <c r="G257" s="83">
        <f>F257-D257</f>
        <v>-517.8399999999999</v>
      </c>
      <c r="H257" s="40">
        <f aca="true" t="shared" si="33" ref="H257:H265">F257-F229</f>
        <v>-69.87999999999994</v>
      </c>
      <c r="I257" s="129">
        <f aca="true" t="shared" si="34" ref="I257:I265">(1-F229/F257)*100</f>
        <v>-14.508159282481415</v>
      </c>
    </row>
    <row r="258" spans="1:9" ht="12.75" hidden="1" outlineLevel="1">
      <c r="A258" s="92" t="s">
        <v>174</v>
      </c>
      <c r="B258" s="92">
        <v>4304</v>
      </c>
      <c r="C258" s="3">
        <f t="shared" si="32"/>
        <v>23.23396840148699</v>
      </c>
      <c r="D258" s="93">
        <v>999.99</v>
      </c>
      <c r="E258" s="83">
        <v>4</v>
      </c>
      <c r="F258" s="2">
        <f>ROUND(B258*E258/100,2)-7.5</f>
        <v>164.66</v>
      </c>
      <c r="G258" s="83">
        <f>F258-D258</f>
        <v>-835.33</v>
      </c>
      <c r="H258" s="40">
        <f t="shared" si="33"/>
        <v>-10.759999999999991</v>
      </c>
      <c r="I258" s="129">
        <f t="shared" si="34"/>
        <v>-6.534677517308385</v>
      </c>
    </row>
    <row r="259" spans="1:9" ht="12.75" hidden="1" outlineLevel="1">
      <c r="A259" t="s">
        <v>230</v>
      </c>
      <c r="B259" s="1">
        <v>650</v>
      </c>
      <c r="C259" s="3">
        <f t="shared" si="32"/>
        <v>154.3553846153846</v>
      </c>
      <c r="D259" s="3">
        <v>1003.31</v>
      </c>
      <c r="E259" s="83">
        <v>125</v>
      </c>
      <c r="F259" s="2">
        <f>ROUND(B259*E259/100,2)-7.5</f>
        <v>805</v>
      </c>
      <c r="G259" s="2">
        <f>F259-D259</f>
        <v>-198.30999999999995</v>
      </c>
      <c r="H259" s="40">
        <f t="shared" si="33"/>
        <v>-143</v>
      </c>
      <c r="I259" s="129">
        <f t="shared" si="34"/>
        <v>-17.7639751552795</v>
      </c>
    </row>
    <row r="260" spans="1:9" ht="12.75" hidden="1" outlineLevel="1">
      <c r="A260" t="s">
        <v>203</v>
      </c>
      <c r="B260" s="1">
        <f>242+1758</f>
        <v>2000</v>
      </c>
      <c r="C260" s="3">
        <f t="shared" si="32"/>
        <v>39.128</v>
      </c>
      <c r="D260" s="3">
        <f>515.44+267.12</f>
        <v>782.5600000000001</v>
      </c>
      <c r="E260" s="83">
        <v>11</v>
      </c>
      <c r="F260" s="2">
        <f>ROUND(B260*E260/100,2)-12</f>
        <v>208</v>
      </c>
      <c r="G260" s="2">
        <f>F260-D260</f>
        <v>-574.5600000000001</v>
      </c>
      <c r="H260" s="40">
        <f t="shared" si="33"/>
        <v>-40</v>
      </c>
      <c r="I260" s="129">
        <f t="shared" si="34"/>
        <v>-19.23076923076923</v>
      </c>
    </row>
    <row r="261" spans="1:9" ht="12.75" hidden="1" outlineLevel="1">
      <c r="A261" s="92" t="s">
        <v>118</v>
      </c>
      <c r="B261" s="92">
        <f>255+250</f>
        <v>505</v>
      </c>
      <c r="C261" s="3">
        <f t="shared" si="32"/>
        <v>396.8336633663367</v>
      </c>
      <c r="D261" s="93">
        <f>1015.65+988.36</f>
        <v>2004.01</v>
      </c>
      <c r="E261" s="83">
        <v>403</v>
      </c>
      <c r="F261" s="2">
        <f>ROUND(B261*E261/100,2)-(12+7.5)</f>
        <v>2015.65</v>
      </c>
      <c r="G261" s="83">
        <f aca="true" t="shared" si="35" ref="G261:G268">F261-D261</f>
        <v>11.6400000000001</v>
      </c>
      <c r="H261" s="95">
        <f t="shared" si="33"/>
        <v>-77.00999999999976</v>
      </c>
      <c r="I261" s="129">
        <f t="shared" si="34"/>
        <v>-3.820603775457032</v>
      </c>
    </row>
    <row r="262" spans="1:9" ht="12.75" hidden="1" outlineLevel="1">
      <c r="A262" s="92" t="s">
        <v>152</v>
      </c>
      <c r="B262" s="92">
        <v>5090</v>
      </c>
      <c r="C262" s="3">
        <f t="shared" si="32"/>
        <v>4.911198428290766</v>
      </c>
      <c r="D262" s="93">
        <v>249.98</v>
      </c>
      <c r="E262" s="83">
        <v>1.62</v>
      </c>
      <c r="F262" s="2">
        <f>ROUND(B262*E262/100,2)-7.5</f>
        <v>74.96</v>
      </c>
      <c r="G262" s="83">
        <f t="shared" si="35"/>
        <v>-175.01999999999998</v>
      </c>
      <c r="H262" s="40">
        <f t="shared" si="33"/>
        <v>-9.16000000000001</v>
      </c>
      <c r="I262" s="129">
        <f t="shared" si="34"/>
        <v>-12.219850586979742</v>
      </c>
    </row>
    <row r="263" spans="1:9" ht="12.75" hidden="1" outlineLevel="1">
      <c r="A263" s="92" t="s">
        <v>193</v>
      </c>
      <c r="B263" s="92">
        <v>202</v>
      </c>
      <c r="C263" s="93">
        <f t="shared" si="32"/>
        <v>492.8762376237624</v>
      </c>
      <c r="D263" s="93">
        <v>995.61</v>
      </c>
      <c r="E263" s="83">
        <v>355</v>
      </c>
      <c r="F263" s="83">
        <f>ROUND(B263*E263/100,2)-7.5</f>
        <v>709.6</v>
      </c>
      <c r="G263" s="83">
        <f t="shared" si="35"/>
        <v>-286.01</v>
      </c>
      <c r="H263" s="40">
        <f t="shared" si="33"/>
        <v>-116.14999999999998</v>
      </c>
      <c r="I263" s="129">
        <f t="shared" si="34"/>
        <v>-16.368376550169096</v>
      </c>
    </row>
    <row r="264" spans="1:9" ht="12.75" hidden="1" outlineLevel="1">
      <c r="A264" s="92" t="s">
        <v>151</v>
      </c>
      <c r="B264" s="92">
        <v>280</v>
      </c>
      <c r="C264" s="93">
        <f t="shared" si="32"/>
        <v>363.54285714285714</v>
      </c>
      <c r="D264" s="93">
        <v>1017.92</v>
      </c>
      <c r="E264" s="83">
        <v>96</v>
      </c>
      <c r="F264" s="83">
        <f>ROUND(B264*E264/100,2)-12</f>
        <v>256.8</v>
      </c>
      <c r="G264" s="83">
        <f t="shared" si="35"/>
        <v>-761.1199999999999</v>
      </c>
      <c r="H264" s="40">
        <f t="shared" si="33"/>
        <v>-84</v>
      </c>
      <c r="I264" s="129">
        <f t="shared" si="34"/>
        <v>-32.710280373831765</v>
      </c>
    </row>
    <row r="265" spans="1:9" ht="12.75" hidden="1" outlineLevel="1">
      <c r="A265" s="92" t="s">
        <v>184</v>
      </c>
      <c r="B265" s="92">
        <v>755</v>
      </c>
      <c r="C265" s="3">
        <f t="shared" si="32"/>
        <v>132.54834437086095</v>
      </c>
      <c r="D265" s="93">
        <v>1000.74</v>
      </c>
      <c r="E265" s="83">
        <v>79.75</v>
      </c>
      <c r="F265" s="2">
        <f>ROUND(B265*E265/100,2)-7.5</f>
        <v>594.61</v>
      </c>
      <c r="G265" s="83">
        <f t="shared" si="35"/>
        <v>-406.13</v>
      </c>
      <c r="H265" s="40">
        <f t="shared" si="33"/>
        <v>-32.09000000000003</v>
      </c>
      <c r="I265" s="129">
        <f t="shared" si="34"/>
        <v>-5.396814718891374</v>
      </c>
    </row>
    <row r="266" spans="1:8" ht="12.75" hidden="1" outlineLevel="1">
      <c r="A266" t="s">
        <v>159</v>
      </c>
      <c r="B266" s="1">
        <v>4295</v>
      </c>
      <c r="C266" s="3">
        <f>D266/B266*100</f>
        <v>23.27962747380675</v>
      </c>
      <c r="D266" s="94">
        <v>999.86</v>
      </c>
      <c r="E266" s="91">
        <v>21.25</v>
      </c>
      <c r="F266" s="8">
        <f>ROUND(B266*E266/100,2)-7.5</f>
        <v>905.19</v>
      </c>
      <c r="G266" s="8">
        <f t="shared" si="35"/>
        <v>-94.66999999999996</v>
      </c>
      <c r="H266" s="95"/>
    </row>
    <row r="267" spans="1:9" ht="12.75" hidden="1" outlineLevel="1">
      <c r="A267" t="s">
        <v>61</v>
      </c>
      <c r="B267" s="1">
        <v>2</v>
      </c>
      <c r="C267" s="3">
        <f t="shared" si="32"/>
        <v>258.5</v>
      </c>
      <c r="D267" s="3">
        <v>5.17</v>
      </c>
      <c r="E267" s="83">
        <v>164.25</v>
      </c>
      <c r="F267" s="2">
        <f>ROUND(B267*E267/100,2)-12</f>
        <v>-8.71</v>
      </c>
      <c r="G267" s="83">
        <f t="shared" si="35"/>
        <v>-13.88</v>
      </c>
      <c r="H267" s="40">
        <f>F267-F238</f>
        <v>-0.5400000000000009</v>
      </c>
      <c r="I267" s="129">
        <f>-(1-F238/F267)*100</f>
        <v>-6.199770378874869</v>
      </c>
    </row>
    <row r="268" spans="1:9" ht="12.75" hidden="1" outlineLevel="1">
      <c r="A268" s="92" t="s">
        <v>209</v>
      </c>
      <c r="B268" s="92">
        <v>4304</v>
      </c>
      <c r="C268" s="3">
        <v>0</v>
      </c>
      <c r="D268" s="93">
        <v>0</v>
      </c>
      <c r="E268" s="83">
        <v>5.25</v>
      </c>
      <c r="F268" s="2">
        <f>ROUND(B268*E268/100,2)-7.5</f>
        <v>218.46</v>
      </c>
      <c r="G268" s="83">
        <f t="shared" si="35"/>
        <v>218.46</v>
      </c>
      <c r="H268" s="40">
        <f>F268-F239</f>
        <v>21.52000000000001</v>
      </c>
      <c r="I268" s="129">
        <f>(1-F239/F268)*100</f>
        <v>9.850773596997165</v>
      </c>
    </row>
    <row r="269" spans="1:9" ht="12.75" hidden="1" outlineLevel="1">
      <c r="A269" t="s">
        <v>94</v>
      </c>
      <c r="B269" s="1">
        <v>364</v>
      </c>
      <c r="C269" s="3">
        <f>D269/B269*100</f>
        <v>279.6730769230769</v>
      </c>
      <c r="D269" s="208">
        <v>1018.01</v>
      </c>
      <c r="E269" s="221">
        <v>105</v>
      </c>
      <c r="F269" s="220">
        <f>ROUND(B269*E269/100,2)-12</f>
        <v>370.2</v>
      </c>
      <c r="G269" s="221">
        <f>F269-D269</f>
        <v>-647.81</v>
      </c>
      <c r="H269" s="242">
        <f>F269-F240</f>
        <v>18.19999999999999</v>
      </c>
      <c r="I269" s="129">
        <f>(1-F240/F269)*100</f>
        <v>4.916261480280926</v>
      </c>
    </row>
    <row r="270" spans="3:9" ht="13.5" hidden="1" outlineLevel="1" thickBot="1">
      <c r="C270" s="8"/>
      <c r="D270" s="6">
        <f>SUM(D257:D269)</f>
        <v>11076.66</v>
      </c>
      <c r="E270" s="6"/>
      <c r="F270" s="6">
        <f>SUM(F257:F269)</f>
        <v>6796.080000000001</v>
      </c>
      <c r="G270" s="6">
        <f>SUM(G257:G269)</f>
        <v>-4280.58</v>
      </c>
      <c r="H270" s="6">
        <f>SUM(H257:H269)</f>
        <v>-542.8699999999997</v>
      </c>
      <c r="I270" s="138">
        <f>-(1-F241/F270)*100</f>
        <v>-5.331308636743559</v>
      </c>
    </row>
    <row r="271" ht="13.5" hidden="1" outlineLevel="1" thickTop="1"/>
    <row r="272" spans="1:6" ht="12.75" hidden="1" outlineLevel="1">
      <c r="A272" t="s">
        <v>33</v>
      </c>
      <c r="F272" s="2">
        <f>F270</f>
        <v>6796.080000000001</v>
      </c>
    </row>
    <row r="273" spans="2:6" ht="12.75" hidden="1" outlineLevel="1">
      <c r="B273" t="s">
        <v>34</v>
      </c>
      <c r="F273" s="83">
        <f>Cash!N208</f>
        <v>2551.81</v>
      </c>
    </row>
    <row r="274" spans="2:6" ht="12.75" hidden="1" outlineLevel="1">
      <c r="B274" t="s">
        <v>39</v>
      </c>
      <c r="F274" s="83">
        <f>Cash!N209</f>
        <v>0</v>
      </c>
    </row>
    <row r="275" spans="2:6" ht="12.75" hidden="1" outlineLevel="1">
      <c r="B275" t="s">
        <v>171</v>
      </c>
      <c r="F275" s="83">
        <f>Cash!N210</f>
        <v>1000</v>
      </c>
    </row>
    <row r="276" spans="2:9" ht="12.75" hidden="1" outlineLevel="1">
      <c r="B276" t="s">
        <v>35</v>
      </c>
      <c r="F276" s="2">
        <v>0</v>
      </c>
      <c r="H276" s="45" t="s">
        <v>40</v>
      </c>
      <c r="I276" s="12"/>
    </row>
    <row r="277" spans="6:9" ht="12.75" hidden="1" outlineLevel="1">
      <c r="F277" s="2">
        <f>SUM(F272:F276)</f>
        <v>10347.890000000001</v>
      </c>
      <c r="H277" s="41"/>
      <c r="I277" s="14"/>
    </row>
    <row r="278" spans="1:9" ht="12.75" hidden="1" outlineLevel="1">
      <c r="A278" t="s">
        <v>36</v>
      </c>
      <c r="B278" t="s">
        <v>98</v>
      </c>
      <c r="E278" s="2">
        <v>0</v>
      </c>
      <c r="H278" s="41" t="s">
        <v>41</v>
      </c>
      <c r="I278" s="20">
        <f>F283</f>
        <v>10317.890000000001</v>
      </c>
    </row>
    <row r="279" spans="2:9" ht="12.75" hidden="1" outlineLevel="1">
      <c r="B279" t="s">
        <v>265</v>
      </c>
      <c r="E279" s="2">
        <v>30</v>
      </c>
      <c r="H279" s="41" t="s">
        <v>120</v>
      </c>
      <c r="I279" s="38">
        <f>Units!J161</f>
        <v>11825</v>
      </c>
    </row>
    <row r="280" spans="2:9" ht="12.75" hidden="1" outlineLevel="1">
      <c r="B280" t="s">
        <v>91</v>
      </c>
      <c r="E280" s="2">
        <v>0</v>
      </c>
      <c r="H280" s="42" t="s">
        <v>121</v>
      </c>
      <c r="I280" s="16">
        <f>ROUND(I278/I279,2)*100</f>
        <v>87</v>
      </c>
    </row>
    <row r="281" spans="2:5" ht="12.75" hidden="1" outlineLevel="1">
      <c r="B281" t="s">
        <v>37</v>
      </c>
      <c r="E281" s="8">
        <v>0</v>
      </c>
    </row>
    <row r="282" ht="12.75" hidden="1" outlineLevel="1">
      <c r="F282" s="2">
        <f>SUM(E278:E281)</f>
        <v>30</v>
      </c>
    </row>
    <row r="283" spans="1:6" ht="12.75" collapsed="1">
      <c r="A283" t="s">
        <v>38</v>
      </c>
      <c r="F283" s="240">
        <f>F277-F282</f>
        <v>10317.890000000001</v>
      </c>
    </row>
    <row r="285" ht="12.75">
      <c r="A285" s="4" t="s">
        <v>271</v>
      </c>
    </row>
    <row r="286" spans="1:9" ht="25.5" hidden="1" outlineLevel="1">
      <c r="A286" s="1" t="s">
        <v>24</v>
      </c>
      <c r="B286" s="1" t="s">
        <v>26</v>
      </c>
      <c r="C286" s="3" t="s">
        <v>27</v>
      </c>
      <c r="D286" s="1" t="s">
        <v>25</v>
      </c>
      <c r="E286" s="3" t="s">
        <v>28</v>
      </c>
      <c r="F286" s="3" t="s">
        <v>29</v>
      </c>
      <c r="G286" s="1" t="s">
        <v>30</v>
      </c>
      <c r="H286" s="40" t="s">
        <v>31</v>
      </c>
      <c r="I286" s="122" t="s">
        <v>257</v>
      </c>
    </row>
    <row r="287" spans="1:9" ht="12.75" hidden="1" outlineLevel="1">
      <c r="A287" s="92" t="s">
        <v>32</v>
      </c>
      <c r="B287" s="92">
        <v>1747</v>
      </c>
      <c r="C287" s="3">
        <f aca="true" t="shared" si="36" ref="C287:C297">D287/B287*100</f>
        <v>57.2123640526617</v>
      </c>
      <c r="D287" s="93">
        <v>999.5</v>
      </c>
      <c r="E287" s="83">
        <v>30</v>
      </c>
      <c r="F287" s="2">
        <f>ROUND(B287*E287/100,2)-7.5</f>
        <v>516.6</v>
      </c>
      <c r="G287" s="83">
        <f>F287-D287</f>
        <v>-482.9</v>
      </c>
      <c r="H287" s="40">
        <f>F287-F257</f>
        <v>34.94</v>
      </c>
      <c r="I287" s="129">
        <f>(1-F257/F287)*100</f>
        <v>6.763453348819204</v>
      </c>
    </row>
    <row r="288" spans="1:9" ht="12.75" hidden="1" outlineLevel="1">
      <c r="A288" s="92" t="s">
        <v>174</v>
      </c>
      <c r="B288" s="92">
        <v>4304</v>
      </c>
      <c r="C288" s="3">
        <f t="shared" si="36"/>
        <v>23.23396840148699</v>
      </c>
      <c r="D288" s="93">
        <v>999.99</v>
      </c>
      <c r="E288" s="83">
        <v>4</v>
      </c>
      <c r="F288" s="2">
        <f>ROUND(B288*E288/100,2)-7.5</f>
        <v>164.66</v>
      </c>
      <c r="G288" s="83">
        <f>F288-D288</f>
        <v>-835.33</v>
      </c>
      <c r="H288" s="40">
        <f>F288-F258</f>
        <v>0</v>
      </c>
      <c r="I288" s="129">
        <f>(1-F258/F288)*100</f>
        <v>0</v>
      </c>
    </row>
    <row r="289" spans="1:9" ht="12.75" hidden="1" outlineLevel="1">
      <c r="A289" t="s">
        <v>230</v>
      </c>
      <c r="B289" s="1">
        <v>650</v>
      </c>
      <c r="C289" s="3">
        <f t="shared" si="36"/>
        <v>154.3553846153846</v>
      </c>
      <c r="D289" s="3">
        <v>1003.31</v>
      </c>
      <c r="E289" s="83">
        <v>147</v>
      </c>
      <c r="F289" s="2">
        <f>ROUND(B289*E289/100,2)-7.5</f>
        <v>948</v>
      </c>
      <c r="G289" s="2">
        <f>F289-D289</f>
        <v>-55.309999999999945</v>
      </c>
      <c r="H289" s="40">
        <f>F289-F259</f>
        <v>143</v>
      </c>
      <c r="I289" s="129">
        <f>(1-F259/F289)*100</f>
        <v>15.084388185654007</v>
      </c>
    </row>
    <row r="290" spans="1:9" ht="12.75" hidden="1" outlineLevel="1">
      <c r="A290" t="s">
        <v>203</v>
      </c>
      <c r="B290" s="1">
        <f>242+1758</f>
        <v>2000</v>
      </c>
      <c r="C290" s="3">
        <f t="shared" si="36"/>
        <v>39.128</v>
      </c>
      <c r="D290" s="3">
        <f>515.44+267.12</f>
        <v>782.5600000000001</v>
      </c>
      <c r="E290" s="83">
        <v>12</v>
      </c>
      <c r="F290" s="2">
        <f>ROUND(B290*E290/100,2)-12</f>
        <v>228</v>
      </c>
      <c r="G290" s="2">
        <f>F290-D290</f>
        <v>-554.5600000000001</v>
      </c>
      <c r="H290" s="40">
        <f>F290-F260</f>
        <v>20</v>
      </c>
      <c r="I290" s="129">
        <f>(1-F260/F290)*100</f>
        <v>8.771929824561408</v>
      </c>
    </row>
    <row r="291" spans="1:9" ht="12.75" hidden="1" outlineLevel="1">
      <c r="A291" s="92" t="s">
        <v>270</v>
      </c>
      <c r="B291" s="92">
        <v>249</v>
      </c>
      <c r="C291" s="93">
        <f>D291/B291*100</f>
        <v>200.79518072289156</v>
      </c>
      <c r="D291" s="93">
        <v>499.98</v>
      </c>
      <c r="E291" s="83">
        <v>205</v>
      </c>
      <c r="F291" s="83">
        <f>ROUND(B291*E291/100,2)-7.5</f>
        <v>502.95</v>
      </c>
      <c r="G291" s="83">
        <f aca="true" t="shared" si="37" ref="G291:G298">F291-D291</f>
        <v>2.9699999999999704</v>
      </c>
      <c r="H291" s="40"/>
      <c r="I291" s="129"/>
    </row>
    <row r="292" spans="1:9" ht="12.75" hidden="1" outlineLevel="1">
      <c r="A292" s="92" t="s">
        <v>118</v>
      </c>
      <c r="B292" s="92">
        <f>255+250</f>
        <v>505</v>
      </c>
      <c r="C292" s="3">
        <f t="shared" si="36"/>
        <v>396.8336633663367</v>
      </c>
      <c r="D292" s="93">
        <f>1015.65+988.36</f>
        <v>2004.01</v>
      </c>
      <c r="E292" s="83">
        <v>409.25</v>
      </c>
      <c r="F292" s="2">
        <f>ROUND(B292*E292/100,2)-(12+7.5)</f>
        <v>2047.21</v>
      </c>
      <c r="G292" s="83">
        <f t="shared" si="37"/>
        <v>43.200000000000045</v>
      </c>
      <c r="H292" s="40">
        <f>F292-F261</f>
        <v>31.559999999999945</v>
      </c>
      <c r="I292" s="129">
        <f>(1-F261/F292)*100</f>
        <v>1.5416102891251948</v>
      </c>
    </row>
    <row r="293" spans="1:9" ht="12.75" hidden="1" outlineLevel="1">
      <c r="A293" s="92" t="s">
        <v>152</v>
      </c>
      <c r="B293" s="92">
        <v>5090</v>
      </c>
      <c r="C293" s="3">
        <f t="shared" si="36"/>
        <v>4.911198428290766</v>
      </c>
      <c r="D293" s="93">
        <v>249.98</v>
      </c>
      <c r="E293" s="83">
        <v>2.13</v>
      </c>
      <c r="F293" s="2">
        <f>ROUND(B293*E293/100,2)-7.5</f>
        <v>100.92</v>
      </c>
      <c r="G293" s="83">
        <f>F293-D293</f>
        <v>-149.06</v>
      </c>
      <c r="H293" s="40">
        <f>F293-F262</f>
        <v>25.960000000000008</v>
      </c>
      <c r="I293" s="129">
        <f>(1-F262/F293)*100</f>
        <v>25.723345223939763</v>
      </c>
    </row>
    <row r="294" spans="1:9" ht="12.75" hidden="1" outlineLevel="1">
      <c r="A294" s="92" t="s">
        <v>193</v>
      </c>
      <c r="B294" s="92">
        <v>202</v>
      </c>
      <c r="C294" s="93">
        <f t="shared" si="36"/>
        <v>492.8762376237624</v>
      </c>
      <c r="D294" s="93">
        <v>995.61</v>
      </c>
      <c r="E294" s="83">
        <v>321</v>
      </c>
      <c r="F294" s="83">
        <f>ROUND(B294*E294/100,2)-7.5</f>
        <v>640.92</v>
      </c>
      <c r="G294" s="83">
        <f t="shared" si="37"/>
        <v>-354.69000000000005</v>
      </c>
      <c r="H294" s="40">
        <f>F294-F263</f>
        <v>-68.68000000000006</v>
      </c>
      <c r="I294" s="129">
        <f>(1-F263/F294)*100</f>
        <v>-10.715845971416105</v>
      </c>
    </row>
    <row r="295" spans="1:9" ht="12.75" hidden="1" outlineLevel="1">
      <c r="A295" s="92" t="s">
        <v>184</v>
      </c>
      <c r="B295" s="92">
        <v>755</v>
      </c>
      <c r="C295" s="3">
        <f t="shared" si="36"/>
        <v>132.54834437086095</v>
      </c>
      <c r="D295" s="93">
        <v>1000.74</v>
      </c>
      <c r="E295" s="83">
        <v>78.25</v>
      </c>
      <c r="F295" s="2">
        <f>ROUND(B295*E295/100,2)-7.5</f>
        <v>583.29</v>
      </c>
      <c r="G295" s="83">
        <f>F295-D295</f>
        <v>-417.45000000000005</v>
      </c>
      <c r="H295" s="40">
        <f>F295-F265</f>
        <v>-11.32000000000005</v>
      </c>
      <c r="I295" s="129">
        <f>(1-F265/F295)*100</f>
        <v>-1.9407155960157185</v>
      </c>
    </row>
    <row r="296" spans="1:9" ht="12.75" hidden="1" outlineLevel="1">
      <c r="A296" t="s">
        <v>159</v>
      </c>
      <c r="B296" s="1">
        <v>4295</v>
      </c>
      <c r="C296" s="3">
        <f t="shared" si="36"/>
        <v>23.27962747380675</v>
      </c>
      <c r="D296" s="94">
        <v>999.86</v>
      </c>
      <c r="E296" s="91">
        <v>11.75</v>
      </c>
      <c r="F296" s="8">
        <f>ROUND(B296*E296/100,2)-7.5</f>
        <v>497.16</v>
      </c>
      <c r="G296" s="83">
        <f>F296-D296</f>
        <v>-502.7</v>
      </c>
      <c r="H296" s="40">
        <f>F296-F266</f>
        <v>-408.03000000000003</v>
      </c>
      <c r="I296" s="129">
        <f>(1-F266/F296)*100</f>
        <v>-82.07216992517499</v>
      </c>
    </row>
    <row r="297" spans="1:9" ht="12.75" hidden="1" outlineLevel="1">
      <c r="A297" t="s">
        <v>61</v>
      </c>
      <c r="B297" s="1">
        <v>2</v>
      </c>
      <c r="C297" s="3">
        <f t="shared" si="36"/>
        <v>258.5</v>
      </c>
      <c r="D297" s="3">
        <v>5.17</v>
      </c>
      <c r="E297" s="83">
        <v>161</v>
      </c>
      <c r="F297" s="2">
        <f>ROUND(B297*E297/100,2)-12</f>
        <v>-8.78</v>
      </c>
      <c r="G297" s="83">
        <f>F297-D297</f>
        <v>-13.95</v>
      </c>
      <c r="H297" s="40">
        <f>F297-F267</f>
        <v>-0.06999999999999851</v>
      </c>
      <c r="I297" s="129">
        <f>-(1-F267/F297)*100</f>
        <v>-0.7972665148063607</v>
      </c>
    </row>
    <row r="298" spans="1:9" ht="12.75" hidden="1" outlineLevel="1">
      <c r="A298" s="92" t="s">
        <v>209</v>
      </c>
      <c r="B298" s="92">
        <v>4304</v>
      </c>
      <c r="C298" s="3">
        <v>0</v>
      </c>
      <c r="D298" s="93">
        <v>0</v>
      </c>
      <c r="E298" s="221">
        <v>5.25</v>
      </c>
      <c r="F298" s="2">
        <f>ROUND(B298*E298/100,2)-7.5</f>
        <v>218.46</v>
      </c>
      <c r="G298" s="83">
        <f t="shared" si="37"/>
        <v>218.46</v>
      </c>
      <c r="H298" s="40">
        <f>F298-F268</f>
        <v>0</v>
      </c>
      <c r="I298" s="129">
        <f>(1-F268/F298)*100</f>
        <v>0</v>
      </c>
    </row>
    <row r="299" spans="3:9" ht="13.5" hidden="1" outlineLevel="1" thickBot="1">
      <c r="C299" s="8"/>
      <c r="D299" s="33">
        <f>SUM(D287:D298)</f>
        <v>9540.710000000001</v>
      </c>
      <c r="E299" s="6"/>
      <c r="F299" s="33">
        <f>SUM(F287:F298)</f>
        <v>6439.39</v>
      </c>
      <c r="G299" s="33">
        <f>SUM(G287:G298)</f>
        <v>-3101.3199999999997</v>
      </c>
      <c r="H299" s="33">
        <f>SUM(H287:H298)</f>
        <v>-232.64000000000019</v>
      </c>
      <c r="I299" s="138">
        <f>(1-F270/F299)*100</f>
        <v>-5.539189271033451</v>
      </c>
    </row>
    <row r="300" ht="13.5" hidden="1" outlineLevel="1" thickTop="1"/>
    <row r="301" spans="1:6" ht="12.75" hidden="1" outlineLevel="1">
      <c r="A301" t="s">
        <v>33</v>
      </c>
      <c r="F301" s="2">
        <f>F299</f>
        <v>6439.39</v>
      </c>
    </row>
    <row r="302" spans="2:6" ht="12.75" hidden="1" outlineLevel="1">
      <c r="B302" t="s">
        <v>34</v>
      </c>
      <c r="F302" s="83">
        <f>Cash!N227</f>
        <v>2385.24</v>
      </c>
    </row>
    <row r="303" spans="2:6" ht="12.75" hidden="1" outlineLevel="1">
      <c r="B303" t="s">
        <v>39</v>
      </c>
      <c r="F303" s="83">
        <f>Cash!N228</f>
        <v>639.8199999999999</v>
      </c>
    </row>
    <row r="304" spans="2:6" ht="12.75" hidden="1" outlineLevel="1">
      <c r="B304" t="s">
        <v>171</v>
      </c>
      <c r="F304" s="83">
        <f>Cash!N229</f>
        <v>1019.67</v>
      </c>
    </row>
    <row r="305" spans="2:9" ht="12.75" hidden="1" outlineLevel="1">
      <c r="B305" t="s">
        <v>35</v>
      </c>
      <c r="F305" s="2">
        <v>0</v>
      </c>
      <c r="H305" s="45" t="s">
        <v>40</v>
      </c>
      <c r="I305" s="12"/>
    </row>
    <row r="306" spans="6:9" ht="12.75" hidden="1" outlineLevel="1">
      <c r="F306" s="2">
        <f>SUM(F301:F305)</f>
        <v>10484.12</v>
      </c>
      <c r="H306" s="41"/>
      <c r="I306" s="14"/>
    </row>
    <row r="307" spans="1:9" ht="12.75" hidden="1" outlineLevel="1">
      <c r="A307" t="s">
        <v>36</v>
      </c>
      <c r="B307" t="s">
        <v>98</v>
      </c>
      <c r="E307" s="2">
        <v>0</v>
      </c>
      <c r="H307" s="41" t="s">
        <v>41</v>
      </c>
      <c r="I307" s="20">
        <f>F311</f>
        <v>10484.12</v>
      </c>
    </row>
    <row r="308" spans="2:9" ht="12.75" hidden="1" outlineLevel="1">
      <c r="B308" t="s">
        <v>91</v>
      </c>
      <c r="E308" s="2">
        <v>0</v>
      </c>
      <c r="H308" s="41" t="s">
        <v>120</v>
      </c>
      <c r="I308" s="38">
        <f>Units!J177</f>
        <v>12235</v>
      </c>
    </row>
    <row r="309" spans="2:9" ht="12.75" hidden="1" outlineLevel="1">
      <c r="B309" t="s">
        <v>37</v>
      </c>
      <c r="E309" s="8">
        <v>0</v>
      </c>
      <c r="H309" s="42" t="s">
        <v>121</v>
      </c>
      <c r="I309" s="16">
        <f>ROUND(I307/I308,2)*100</f>
        <v>86</v>
      </c>
    </row>
    <row r="310" ht="12.75" hidden="1" outlineLevel="1">
      <c r="F310" s="2">
        <f>SUM(E307:E309)</f>
        <v>0</v>
      </c>
    </row>
    <row r="311" spans="1:6" ht="12.75" collapsed="1">
      <c r="A311" t="s">
        <v>38</v>
      </c>
      <c r="F311" s="240">
        <f>F306-F310</f>
        <v>10484.12</v>
      </c>
    </row>
    <row r="313" ht="12.75">
      <c r="A313" s="4" t="s">
        <v>281</v>
      </c>
    </row>
    <row r="314" spans="1:9" ht="25.5" hidden="1" outlineLevel="1">
      <c r="A314" s="1" t="s">
        <v>24</v>
      </c>
      <c r="B314" s="1" t="s">
        <v>26</v>
      </c>
      <c r="C314" s="3" t="s">
        <v>27</v>
      </c>
      <c r="D314" s="1" t="s">
        <v>25</v>
      </c>
      <c r="E314" s="3" t="s">
        <v>28</v>
      </c>
      <c r="F314" s="3" t="s">
        <v>29</v>
      </c>
      <c r="G314" s="1" t="s">
        <v>30</v>
      </c>
      <c r="H314" s="40" t="s">
        <v>31</v>
      </c>
      <c r="I314" s="122" t="s">
        <v>257</v>
      </c>
    </row>
    <row r="315" spans="1:9" ht="12.75" hidden="1" outlineLevel="1">
      <c r="A315" s="92" t="s">
        <v>174</v>
      </c>
      <c r="B315" s="92">
        <v>4304</v>
      </c>
      <c r="C315" s="3">
        <f aca="true" t="shared" si="38" ref="C315:C322">D315/B315*100</f>
        <v>23.23396840148699</v>
      </c>
      <c r="D315" s="93">
        <v>999.99</v>
      </c>
      <c r="E315" s="83">
        <v>3.5</v>
      </c>
      <c r="F315" s="2">
        <f aca="true" t="shared" si="39" ref="F315:F323">ROUND(B315*E315/100,2)-7.5</f>
        <v>143.14</v>
      </c>
      <c r="G315" s="83">
        <f aca="true" t="shared" si="40" ref="G315:G324">F315-D315</f>
        <v>-856.85</v>
      </c>
      <c r="H315" s="40">
        <f>F315-F288</f>
        <v>-21.52000000000001</v>
      </c>
      <c r="I315" s="129">
        <f>(1-F288/F315)*100</f>
        <v>-15.034232220204014</v>
      </c>
    </row>
    <row r="316" spans="1:9" ht="12.75" hidden="1" outlineLevel="1">
      <c r="A316" t="s">
        <v>230</v>
      </c>
      <c r="B316" s="1">
        <v>650</v>
      </c>
      <c r="C316" s="3">
        <f t="shared" si="38"/>
        <v>154.3553846153846</v>
      </c>
      <c r="D316" s="3">
        <v>1003.31</v>
      </c>
      <c r="E316" s="83">
        <v>146</v>
      </c>
      <c r="F316" s="2">
        <f>ROUND(B316*E316/100,2)-7.5</f>
        <v>941.5</v>
      </c>
      <c r="G316" s="2">
        <f t="shared" si="40"/>
        <v>-61.809999999999945</v>
      </c>
      <c r="H316" s="40">
        <f>F316-F289</f>
        <v>-6.5</v>
      </c>
      <c r="I316" s="129">
        <f>(1-F289/F316)*100</f>
        <v>-0.6903876792352603</v>
      </c>
    </row>
    <row r="317" spans="1:9" ht="12.75" hidden="1" outlineLevel="1">
      <c r="A317" t="s">
        <v>203</v>
      </c>
      <c r="B317" s="1">
        <f>242+1758</f>
        <v>2000</v>
      </c>
      <c r="C317" s="3">
        <f t="shared" si="38"/>
        <v>39.128</v>
      </c>
      <c r="D317" s="3">
        <f>515.44+267.12</f>
        <v>782.5600000000001</v>
      </c>
      <c r="E317" s="83">
        <v>11</v>
      </c>
      <c r="F317" s="2">
        <f>ROUND(B317*E317/100,2)-7.5</f>
        <v>212.5</v>
      </c>
      <c r="G317" s="2">
        <f t="shared" si="40"/>
        <v>-570.0600000000001</v>
      </c>
      <c r="H317" s="40">
        <f>F317-F290</f>
        <v>-15.5</v>
      </c>
      <c r="I317" s="129">
        <f>(1-F290/F317)*100</f>
        <v>-7.294117647058829</v>
      </c>
    </row>
    <row r="318" spans="1:9" ht="12.75" hidden="1" outlineLevel="1">
      <c r="A318" s="92" t="s">
        <v>118</v>
      </c>
      <c r="B318" s="92">
        <f>255+250</f>
        <v>505</v>
      </c>
      <c r="C318" s="3">
        <f t="shared" si="38"/>
        <v>396.8336633663367</v>
      </c>
      <c r="D318" s="93">
        <f>1015.65+988.36</f>
        <v>2004.01</v>
      </c>
      <c r="E318" s="83">
        <v>403.25</v>
      </c>
      <c r="F318" s="2">
        <f>ROUND(B318*E318/100,2)-7.5</f>
        <v>2028.91</v>
      </c>
      <c r="G318" s="83">
        <f t="shared" si="40"/>
        <v>24.90000000000009</v>
      </c>
      <c r="H318" s="40">
        <f>F318-F292</f>
        <v>-18.299999999999955</v>
      </c>
      <c r="I318" s="129">
        <f>(1-F292/F318)*100</f>
        <v>-0.9019621373052455</v>
      </c>
    </row>
    <row r="319" spans="1:9" ht="12.75" hidden="1" outlineLevel="1">
      <c r="A319" t="s">
        <v>274</v>
      </c>
      <c r="B319" s="1">
        <v>182</v>
      </c>
      <c r="C319" s="3">
        <f t="shared" si="38"/>
        <v>274.2197802197802</v>
      </c>
      <c r="D319" s="94">
        <v>499.08</v>
      </c>
      <c r="E319" s="91">
        <v>273</v>
      </c>
      <c r="F319" s="8">
        <f t="shared" si="39"/>
        <v>489.36</v>
      </c>
      <c r="G319" s="83">
        <f t="shared" si="40"/>
        <v>-9.71999999999997</v>
      </c>
      <c r="H319" s="40"/>
      <c r="I319" s="129"/>
    </row>
    <row r="320" spans="1:9" ht="12.75" hidden="1" outlineLevel="1">
      <c r="A320" s="92" t="s">
        <v>184</v>
      </c>
      <c r="B320" s="92">
        <v>755</v>
      </c>
      <c r="C320" s="3">
        <f t="shared" si="38"/>
        <v>132.54834437086095</v>
      </c>
      <c r="D320" s="93">
        <v>1000.74</v>
      </c>
      <c r="E320" s="83">
        <v>85</v>
      </c>
      <c r="F320" s="2">
        <f t="shared" si="39"/>
        <v>634.25</v>
      </c>
      <c r="G320" s="83">
        <f t="shared" si="40"/>
        <v>-366.49</v>
      </c>
      <c r="H320" s="40">
        <f>F320-F295</f>
        <v>50.960000000000036</v>
      </c>
      <c r="I320" s="129">
        <f>(1-F295/F320)*100</f>
        <v>8.034686637761146</v>
      </c>
    </row>
    <row r="321" spans="1:9" ht="12.75" hidden="1" outlineLevel="1">
      <c r="A321" t="s">
        <v>159</v>
      </c>
      <c r="B321" s="1">
        <v>4295</v>
      </c>
      <c r="C321" s="3">
        <f t="shared" si="38"/>
        <v>23.27962747380675</v>
      </c>
      <c r="D321" s="94">
        <v>999.86</v>
      </c>
      <c r="E321" s="91">
        <v>15</v>
      </c>
      <c r="F321" s="8">
        <f t="shared" si="39"/>
        <v>636.75</v>
      </c>
      <c r="G321" s="83">
        <f t="shared" si="40"/>
        <v>-363.11</v>
      </c>
      <c r="H321" s="40">
        <f>F321-F296</f>
        <v>139.58999999999997</v>
      </c>
      <c r="I321" s="129">
        <f>(1-F296/F321)*100</f>
        <v>21.922261484098936</v>
      </c>
    </row>
    <row r="322" spans="1:9" ht="12.75" hidden="1" outlineLevel="1">
      <c r="A322" t="s">
        <v>61</v>
      </c>
      <c r="B322" s="1">
        <v>528</v>
      </c>
      <c r="C322" s="3">
        <f t="shared" si="38"/>
        <v>190.0625</v>
      </c>
      <c r="D322" s="3">
        <f>5.17+998.36</f>
        <v>1003.53</v>
      </c>
      <c r="E322" s="83">
        <v>178.5</v>
      </c>
      <c r="F322" s="2">
        <f>ROUND(B322*E322/100,2)-7.5</f>
        <v>934.98</v>
      </c>
      <c r="G322" s="83">
        <f>F322-D322</f>
        <v>-68.54999999999995</v>
      </c>
      <c r="H322" s="40"/>
      <c r="I322" s="129"/>
    </row>
    <row r="323" spans="1:9" ht="12.75" hidden="1" outlineLevel="1">
      <c r="A323" s="92" t="s">
        <v>209</v>
      </c>
      <c r="B323" s="92">
        <v>4304</v>
      </c>
      <c r="C323" s="3">
        <v>0</v>
      </c>
      <c r="D323" s="93">
        <v>0</v>
      </c>
      <c r="E323" s="91">
        <v>4.25</v>
      </c>
      <c r="F323" s="2">
        <f t="shared" si="39"/>
        <v>175.42</v>
      </c>
      <c r="G323" s="83">
        <f t="shared" si="40"/>
        <v>175.42</v>
      </c>
      <c r="H323" s="40">
        <f>F323-F298</f>
        <v>-43.04000000000002</v>
      </c>
      <c r="I323" s="129">
        <f>(1-F298/F323)*100</f>
        <v>-24.535400752479774</v>
      </c>
    </row>
    <row r="324" spans="1:9" ht="12.75" hidden="1" outlineLevel="1">
      <c r="A324" s="92" t="s">
        <v>193</v>
      </c>
      <c r="B324" s="92">
        <v>272</v>
      </c>
      <c r="C324" s="93">
        <f>D324/B324*100</f>
        <v>366.66544117647055</v>
      </c>
      <c r="D324" s="93">
        <f>984.91+12.42</f>
        <v>997.3299999999999</v>
      </c>
      <c r="E324" s="221">
        <v>350</v>
      </c>
      <c r="F324" s="83">
        <f>ROUND(B324*E324/100,2)-7.5</f>
        <v>944.5</v>
      </c>
      <c r="G324" s="83">
        <f t="shared" si="40"/>
        <v>-52.82999999999993</v>
      </c>
      <c r="H324" s="40"/>
      <c r="I324" s="129"/>
    </row>
    <row r="325" spans="3:9" ht="13.5" hidden="1" outlineLevel="1" thickBot="1">
      <c r="C325" s="8"/>
      <c r="D325" s="33">
        <f>SUM(D315:D324)</f>
        <v>9290.41</v>
      </c>
      <c r="E325" s="6"/>
      <c r="F325" s="33">
        <f>SUM(F315:F324)</f>
        <v>7141.3099999999995</v>
      </c>
      <c r="G325" s="33">
        <f>SUM(G315:G324)</f>
        <v>-2149.0999999999995</v>
      </c>
      <c r="H325" s="33">
        <f>SUM(H315:H324)</f>
        <v>85.69000000000003</v>
      </c>
      <c r="I325" s="138">
        <f>(1-F299/F325)*100</f>
        <v>9.829008963341446</v>
      </c>
    </row>
    <row r="326" ht="13.5" hidden="1" outlineLevel="1" thickTop="1"/>
    <row r="327" spans="1:6" ht="12.75" hidden="1" outlineLevel="1">
      <c r="A327" t="s">
        <v>33</v>
      </c>
      <c r="F327" s="2">
        <f>F325</f>
        <v>7141.3099999999995</v>
      </c>
    </row>
    <row r="328" spans="2:6" ht="12.75" hidden="1" outlineLevel="1">
      <c r="B328" t="s">
        <v>34</v>
      </c>
      <c r="F328" s="83">
        <f>Cash!N252</f>
        <v>0</v>
      </c>
    </row>
    <row r="329" spans="2:6" ht="12.75" hidden="1" outlineLevel="1">
      <c r="B329" t="s">
        <v>171</v>
      </c>
      <c r="F329" s="83">
        <f>Cash!N255</f>
        <v>3567.98</v>
      </c>
    </row>
    <row r="330" spans="2:9" ht="12.75" hidden="1" outlineLevel="1">
      <c r="B330" t="s">
        <v>35</v>
      </c>
      <c r="F330" s="2">
        <v>0</v>
      </c>
      <c r="H330" s="45" t="s">
        <v>40</v>
      </c>
      <c r="I330" s="12"/>
    </row>
    <row r="331" spans="6:9" ht="12.75" hidden="1" outlineLevel="1">
      <c r="F331" s="2">
        <f>SUM(F327:F330)</f>
        <v>10709.289999999999</v>
      </c>
      <c r="H331" s="41"/>
      <c r="I331" s="14"/>
    </row>
    <row r="332" spans="1:9" ht="12.75" hidden="1" outlineLevel="1">
      <c r="A332" t="s">
        <v>36</v>
      </c>
      <c r="B332" t="s">
        <v>98</v>
      </c>
      <c r="E332" s="2">
        <v>0</v>
      </c>
      <c r="H332" s="41" t="s">
        <v>41</v>
      </c>
      <c r="I332" s="20">
        <f>F336</f>
        <v>10709.289999999999</v>
      </c>
    </row>
    <row r="333" spans="2:9" ht="12.75" hidden="1" outlineLevel="1">
      <c r="B333" t="s">
        <v>91</v>
      </c>
      <c r="E333" s="2">
        <v>0</v>
      </c>
      <c r="H333" s="41" t="s">
        <v>120</v>
      </c>
      <c r="I333" s="38">
        <f>Units!J193</f>
        <v>12655</v>
      </c>
    </row>
    <row r="334" spans="2:9" ht="12.75" hidden="1" outlineLevel="1">
      <c r="B334" t="s">
        <v>37</v>
      </c>
      <c r="E334" s="8">
        <v>0</v>
      </c>
      <c r="H334" s="42" t="s">
        <v>121</v>
      </c>
      <c r="I334" s="16">
        <f>ROUND(I332/I333,2)*100</f>
        <v>85</v>
      </c>
    </row>
    <row r="335" ht="12.75" hidden="1" outlineLevel="1">
      <c r="F335" s="2">
        <f>SUM(E332:E334)</f>
        <v>0</v>
      </c>
    </row>
    <row r="336" spans="1:6" ht="12.75" collapsed="1">
      <c r="A336" t="s">
        <v>38</v>
      </c>
      <c r="F336" s="240">
        <f>F331-F335</f>
        <v>10709.289999999999</v>
      </c>
    </row>
  </sheetData>
  <printOptions/>
  <pageMargins left="0.7480314960629921" right="0.7480314960629921" top="0.8" bottom="0.61" header="0.5118110236220472" footer="0.5118110236220472"/>
  <pageSetup horizontalDpi="300" verticalDpi="300" orientation="landscape" paperSize="9" r:id="rId1"/>
  <headerFooter alignWithMargins="0">
    <oddHeader>&amp;C&amp;"Arial,Bold"&amp;12Roborough Investment Club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zoomScale="85" zoomScaleNormal="85" workbookViewId="0" topLeftCell="A19">
      <selection activeCell="D73" sqref="D73"/>
    </sheetView>
  </sheetViews>
  <sheetFormatPr defaultColWidth="9.140625" defaultRowHeight="12.75"/>
  <cols>
    <col min="1" max="1" width="9.7109375" style="50" bestFit="1" customWidth="1"/>
    <col min="2" max="2" width="22.140625" style="50" customWidth="1"/>
    <col min="3" max="3" width="8.57421875" style="50" customWidth="1"/>
    <col min="4" max="4" width="9.28125" style="50" customWidth="1"/>
    <col min="5" max="5" width="10.28125" style="50" customWidth="1"/>
    <col min="6" max="6" width="8.00390625" style="50" customWidth="1"/>
    <col min="7" max="7" width="9.8515625" style="50" customWidth="1"/>
    <col min="8" max="8" width="8.57421875" style="50" bestFit="1" customWidth="1"/>
    <col min="9" max="9" width="7.00390625" style="50" bestFit="1" customWidth="1"/>
    <col min="10" max="10" width="7.57421875" style="50" customWidth="1"/>
    <col min="11" max="11" width="8.57421875" style="50" bestFit="1" customWidth="1"/>
    <col min="12" max="12" width="8.421875" style="50" bestFit="1" customWidth="1"/>
    <col min="13" max="13" width="10.140625" style="50" customWidth="1"/>
    <col min="14" max="16384" width="9.140625" style="50" customWidth="1"/>
  </cols>
  <sheetData>
    <row r="1" spans="1:2" ht="20.25">
      <c r="A1" s="48" t="s">
        <v>196</v>
      </c>
      <c r="B1" s="49"/>
    </row>
    <row r="3" spans="1:8" ht="12.75">
      <c r="A3" s="49" t="s">
        <v>63</v>
      </c>
      <c r="B3" s="49"/>
      <c r="G3" s="74" t="s">
        <v>64</v>
      </c>
      <c r="H3" s="49"/>
    </row>
    <row r="4" spans="1:14" ht="25.5">
      <c r="A4" s="62" t="s">
        <v>0</v>
      </c>
      <c r="B4" s="62" t="s">
        <v>65</v>
      </c>
      <c r="C4" s="63" t="s">
        <v>66</v>
      </c>
      <c r="D4" s="63" t="s">
        <v>67</v>
      </c>
      <c r="E4" s="64" t="s">
        <v>88</v>
      </c>
      <c r="F4" s="64" t="s">
        <v>89</v>
      </c>
      <c r="G4" s="75" t="s">
        <v>0</v>
      </c>
      <c r="H4" s="63" t="s">
        <v>66</v>
      </c>
      <c r="I4" s="63" t="s">
        <v>67</v>
      </c>
      <c r="J4" s="64" t="s">
        <v>90</v>
      </c>
      <c r="K4" s="64" t="s">
        <v>89</v>
      </c>
      <c r="L4" s="63" t="s">
        <v>68</v>
      </c>
      <c r="M4" s="49"/>
      <c r="N4" s="49"/>
    </row>
    <row r="5" spans="1:12" ht="12.75">
      <c r="A5" s="58">
        <v>36510</v>
      </c>
      <c r="B5" t="s">
        <v>203</v>
      </c>
      <c r="C5" s="53">
        <v>242</v>
      </c>
      <c r="D5" s="78">
        <v>207</v>
      </c>
      <c r="E5" s="78">
        <f aca="true" t="shared" si="0" ref="E5:E21">ROUND(C5*D5/100,2)</f>
        <v>500.94</v>
      </c>
      <c r="F5" s="78">
        <v>14.5</v>
      </c>
      <c r="G5" s="90"/>
      <c r="H5" s="153"/>
      <c r="I5" s="78"/>
      <c r="J5" s="78"/>
      <c r="K5" s="78"/>
      <c r="L5" s="78"/>
    </row>
    <row r="6" spans="1:12" ht="12.75">
      <c r="A6" s="58">
        <v>37596</v>
      </c>
      <c r="B6" t="s">
        <v>203</v>
      </c>
      <c r="C6" s="53">
        <v>1758</v>
      </c>
      <c r="D6" s="78">
        <v>14.44</v>
      </c>
      <c r="E6" s="78">
        <f>ROUND(C6*D6/100,2)</f>
        <v>253.86</v>
      </c>
      <c r="F6" s="78">
        <f>12+1.27</f>
        <v>13.27</v>
      </c>
      <c r="G6" s="90"/>
      <c r="H6" s="153"/>
      <c r="I6" s="78"/>
      <c r="J6" s="78"/>
      <c r="K6" s="78"/>
      <c r="L6" s="78"/>
    </row>
    <row r="7" spans="1:12" ht="12.75">
      <c r="A7" s="58">
        <v>37133</v>
      </c>
      <c r="B7" s="50" t="s">
        <v>118</v>
      </c>
      <c r="C7" s="53">
        <v>255</v>
      </c>
      <c r="D7" s="78">
        <v>391.63</v>
      </c>
      <c r="E7" s="78">
        <f t="shared" si="0"/>
        <v>998.66</v>
      </c>
      <c r="F7" s="78">
        <v>17</v>
      </c>
      <c r="G7" s="90"/>
      <c r="H7" s="153"/>
      <c r="I7" s="53"/>
      <c r="J7" s="78"/>
      <c r="K7" s="78"/>
      <c r="L7" s="81"/>
    </row>
    <row r="8" spans="1:12" ht="12.75">
      <c r="A8" s="58">
        <v>37539</v>
      </c>
      <c r="B8" s="50" t="s">
        <v>118</v>
      </c>
      <c r="C8" s="53">
        <v>250</v>
      </c>
      <c r="D8" s="78">
        <v>390.39</v>
      </c>
      <c r="E8" s="78">
        <f>ROUND(C8*D8/100,2)</f>
        <v>975.98</v>
      </c>
      <c r="F8" s="78">
        <f>7.5+4.88</f>
        <v>12.379999999999999</v>
      </c>
      <c r="G8" s="90"/>
      <c r="H8" s="153"/>
      <c r="I8" s="53"/>
      <c r="J8" s="78"/>
      <c r="K8" s="78"/>
      <c r="L8" s="81"/>
    </row>
    <row r="9" spans="1:12" ht="12.75">
      <c r="A9" s="155">
        <v>37176</v>
      </c>
      <c r="B9" s="156" t="s">
        <v>151</v>
      </c>
      <c r="C9" s="157">
        <v>280</v>
      </c>
      <c r="D9" s="152">
        <v>357.47</v>
      </c>
      <c r="E9" s="152">
        <f t="shared" si="0"/>
        <v>1000.92</v>
      </c>
      <c r="F9" s="152">
        <v>17</v>
      </c>
      <c r="G9" s="89">
        <v>37676</v>
      </c>
      <c r="H9" s="151">
        <v>280</v>
      </c>
      <c r="I9" s="157">
        <v>83.02</v>
      </c>
      <c r="J9" s="152">
        <f>H9*I9/100</f>
        <v>232.456</v>
      </c>
      <c r="K9" s="152">
        <v>12</v>
      </c>
      <c r="L9" s="274">
        <f>J9-K9-F9-E9</f>
        <v>-797.4639999999999</v>
      </c>
    </row>
    <row r="10" spans="1:12" ht="12.75">
      <c r="A10" s="155">
        <v>36628</v>
      </c>
      <c r="B10" s="156" t="s">
        <v>61</v>
      </c>
      <c r="C10" s="157">
        <v>221</v>
      </c>
      <c r="D10" s="152">
        <v>219</v>
      </c>
      <c r="E10" s="152">
        <f t="shared" si="0"/>
        <v>483.99</v>
      </c>
      <c r="F10" s="152">
        <v>14.5</v>
      </c>
      <c r="G10" s="89">
        <v>37348</v>
      </c>
      <c r="H10" s="151">
        <v>221</v>
      </c>
      <c r="I10" s="157">
        <v>246.53</v>
      </c>
      <c r="J10" s="152">
        <f>H10*I10/100</f>
        <v>544.8312999999999</v>
      </c>
      <c r="K10" s="152">
        <v>6</v>
      </c>
      <c r="L10" s="274">
        <f>J10-K10-F10-E10</f>
        <v>40.34129999999993</v>
      </c>
    </row>
    <row r="11" spans="1:12" ht="12.75">
      <c r="A11" s="264">
        <v>36873</v>
      </c>
      <c r="B11" s="156" t="s">
        <v>61</v>
      </c>
      <c r="C11" s="157">
        <v>373</v>
      </c>
      <c r="D11" s="152">
        <v>268</v>
      </c>
      <c r="E11" s="152">
        <f t="shared" si="0"/>
        <v>999.64</v>
      </c>
      <c r="F11" s="152">
        <v>17</v>
      </c>
      <c r="G11" s="89">
        <v>37348</v>
      </c>
      <c r="H11" s="151">
        <v>371</v>
      </c>
      <c r="I11" s="157">
        <v>246.53</v>
      </c>
      <c r="J11" s="152">
        <f>H11*I11/100</f>
        <v>914.6263</v>
      </c>
      <c r="K11" s="152">
        <v>6</v>
      </c>
      <c r="L11" s="213">
        <f>J11-K11-F11-E11</f>
        <v>-108.01369999999997</v>
      </c>
    </row>
    <row r="12" spans="1:12" ht="12.75">
      <c r="A12" s="89">
        <v>37201</v>
      </c>
      <c r="B12" s="156" t="s">
        <v>94</v>
      </c>
      <c r="C12" s="157">
        <v>364</v>
      </c>
      <c r="D12" s="152">
        <v>275</v>
      </c>
      <c r="E12" s="152">
        <f t="shared" si="0"/>
        <v>1001</v>
      </c>
      <c r="F12" s="152">
        <f>12+5.01</f>
        <v>17.009999999999998</v>
      </c>
      <c r="G12" s="89">
        <v>37676</v>
      </c>
      <c r="H12" s="151">
        <v>364</v>
      </c>
      <c r="I12" s="157">
        <v>113</v>
      </c>
      <c r="J12" s="152">
        <f>H12*I12/100</f>
        <v>411.32</v>
      </c>
      <c r="K12" s="152">
        <v>12</v>
      </c>
      <c r="L12" s="213">
        <f>J12-K12-F12-E12</f>
        <v>-618.69</v>
      </c>
    </row>
    <row r="13" spans="1:12" s="156" customFormat="1" ht="12.75">
      <c r="A13" s="155">
        <v>37313</v>
      </c>
      <c r="B13" s="156" t="s">
        <v>174</v>
      </c>
      <c r="C13" s="157">
        <v>4304</v>
      </c>
      <c r="D13" s="152">
        <v>22.945</v>
      </c>
      <c r="E13" s="152">
        <f t="shared" si="0"/>
        <v>987.55</v>
      </c>
      <c r="F13" s="152">
        <f>7.5+4.94</f>
        <v>12.440000000000001</v>
      </c>
      <c r="G13" s="89"/>
      <c r="H13" s="151"/>
      <c r="I13" s="157"/>
      <c r="J13" s="152"/>
      <c r="K13" s="152"/>
      <c r="L13" s="213"/>
    </row>
    <row r="14" spans="1:12" s="156" customFormat="1" ht="12.75">
      <c r="A14" s="155">
        <v>37309</v>
      </c>
      <c r="B14" s="83" t="s">
        <v>178</v>
      </c>
      <c r="C14" s="157">
        <v>561</v>
      </c>
      <c r="D14" s="152">
        <v>175</v>
      </c>
      <c r="E14" s="152">
        <f t="shared" si="0"/>
        <v>981.75</v>
      </c>
      <c r="F14" s="152">
        <f>7.5+4.91</f>
        <v>12.41</v>
      </c>
      <c r="G14" s="89">
        <v>37453</v>
      </c>
      <c r="H14" s="157">
        <v>561</v>
      </c>
      <c r="I14" s="152">
        <v>165</v>
      </c>
      <c r="J14" s="152">
        <f>ROUND(H14*I14/100,2)</f>
        <v>925.65</v>
      </c>
      <c r="K14" s="152">
        <v>7.5</v>
      </c>
      <c r="L14" s="213">
        <f>J14-K14-F14-E14</f>
        <v>-76.00999999999999</v>
      </c>
    </row>
    <row r="15" spans="1:12" s="156" customFormat="1" ht="12.75">
      <c r="A15" s="159">
        <v>37320</v>
      </c>
      <c r="B15" s="265" t="s">
        <v>32</v>
      </c>
      <c r="C15" s="214">
        <v>1747</v>
      </c>
      <c r="D15" s="152">
        <v>56.5</v>
      </c>
      <c r="E15" s="152">
        <f t="shared" si="0"/>
        <v>987.06</v>
      </c>
      <c r="F15" s="152">
        <f>7.5+4.94</f>
        <v>12.440000000000001</v>
      </c>
      <c r="G15" s="89">
        <v>37692</v>
      </c>
      <c r="H15" s="214">
        <v>1747</v>
      </c>
      <c r="I15" s="152">
        <v>28.25</v>
      </c>
      <c r="J15" s="152">
        <f>ROUND(H15*I15/100,2)</f>
        <v>493.53</v>
      </c>
      <c r="K15" s="152">
        <v>7.5</v>
      </c>
      <c r="L15" s="213">
        <f>J15-K15-F15-E15</f>
        <v>-513.47</v>
      </c>
    </row>
    <row r="16" spans="1:12" s="156" customFormat="1" ht="12.75">
      <c r="A16" s="159">
        <v>37320</v>
      </c>
      <c r="B16" s="266" t="s">
        <v>51</v>
      </c>
      <c r="C16" s="214">
        <v>716</v>
      </c>
      <c r="D16" s="152">
        <v>137.88</v>
      </c>
      <c r="E16" s="152">
        <f t="shared" si="0"/>
        <v>987.22</v>
      </c>
      <c r="F16" s="152">
        <f>7.5+4.94</f>
        <v>12.440000000000001</v>
      </c>
      <c r="G16" s="89">
        <v>37375</v>
      </c>
      <c r="H16" s="151">
        <v>716</v>
      </c>
      <c r="I16" s="157">
        <v>110</v>
      </c>
      <c r="J16" s="152">
        <f>H16*I16/100</f>
        <v>787.6</v>
      </c>
      <c r="K16" s="152">
        <v>7.5</v>
      </c>
      <c r="L16" s="213">
        <f>J16-K16-F16-E16</f>
        <v>-219.56000000000006</v>
      </c>
    </row>
    <row r="17" spans="1:12" s="156" customFormat="1" ht="12.75">
      <c r="A17" s="159">
        <v>37321</v>
      </c>
      <c r="B17" s="266" t="s">
        <v>184</v>
      </c>
      <c r="C17" s="214">
        <v>755</v>
      </c>
      <c r="D17" s="152">
        <v>130.9</v>
      </c>
      <c r="E17" s="152">
        <f t="shared" si="0"/>
        <v>988.3</v>
      </c>
      <c r="F17" s="152">
        <f>7.5+4.91</f>
        <v>12.41</v>
      </c>
      <c r="G17" s="89"/>
      <c r="H17" s="151"/>
      <c r="I17" s="157"/>
      <c r="J17" s="152"/>
      <c r="K17" s="152"/>
      <c r="L17" s="213"/>
    </row>
    <row r="18" spans="1:12" s="156" customFormat="1" ht="12.75">
      <c r="A18" s="159">
        <v>37342</v>
      </c>
      <c r="B18" s="83" t="s">
        <v>152</v>
      </c>
      <c r="C18" s="214">
        <v>2000</v>
      </c>
      <c r="D18" s="152">
        <v>7.11</v>
      </c>
      <c r="E18" s="152">
        <f t="shared" si="0"/>
        <v>142.2</v>
      </c>
      <c r="F18" s="152">
        <f>7.5+0.71</f>
        <v>8.21</v>
      </c>
      <c r="G18" s="89">
        <v>37378</v>
      </c>
      <c r="H18" s="151">
        <v>2000</v>
      </c>
      <c r="I18" s="157">
        <v>13.05</v>
      </c>
      <c r="J18" s="152">
        <f>H18*I18/100</f>
        <v>261</v>
      </c>
      <c r="K18" s="152">
        <v>7.5</v>
      </c>
      <c r="L18" s="213">
        <f>J18-K18-F18-E18</f>
        <v>103.09</v>
      </c>
    </row>
    <row r="19" spans="1:12" s="156" customFormat="1" ht="12.75">
      <c r="A19" s="159">
        <v>37342</v>
      </c>
      <c r="B19" s="91" t="s">
        <v>185</v>
      </c>
      <c r="C19" s="166">
        <v>85</v>
      </c>
      <c r="D19" s="152">
        <v>1161.75</v>
      </c>
      <c r="E19" s="152">
        <f t="shared" si="0"/>
        <v>987.49</v>
      </c>
      <c r="F19" s="152">
        <f>7.5+4.91</f>
        <v>12.41</v>
      </c>
      <c r="G19" s="89">
        <v>37389</v>
      </c>
      <c r="H19" s="151">
        <v>85</v>
      </c>
      <c r="I19" s="157">
        <v>937</v>
      </c>
      <c r="J19" s="152">
        <f>H19*I19/100</f>
        <v>796.45</v>
      </c>
      <c r="K19" s="152">
        <v>7.5</v>
      </c>
      <c r="L19" s="213">
        <f>J19-K19-F19-E19</f>
        <v>-210.94999999999993</v>
      </c>
    </row>
    <row r="20" spans="1:12" s="156" customFormat="1" ht="12.75">
      <c r="A20" s="267">
        <v>37375</v>
      </c>
      <c r="B20" s="88" t="s">
        <v>193</v>
      </c>
      <c r="C20" s="268">
        <v>202</v>
      </c>
      <c r="D20" s="152">
        <v>486.73</v>
      </c>
      <c r="E20" s="152">
        <f t="shared" si="0"/>
        <v>983.19</v>
      </c>
      <c r="F20" s="152">
        <f>7.5+4.92</f>
        <v>12.42</v>
      </c>
      <c r="G20" s="89">
        <v>37687</v>
      </c>
      <c r="H20" s="151">
        <v>202</v>
      </c>
      <c r="I20" s="157">
        <v>306.05</v>
      </c>
      <c r="J20" s="152">
        <f>H20*I20/100</f>
        <v>618.221</v>
      </c>
      <c r="K20" s="152">
        <v>7.5</v>
      </c>
      <c r="L20" s="213">
        <f>J20-K20-F20-E20</f>
        <v>-384.889</v>
      </c>
    </row>
    <row r="21" spans="1:12" s="156" customFormat="1" ht="12.75">
      <c r="A21" s="159">
        <v>37427</v>
      </c>
      <c r="B21" s="83" t="s">
        <v>152</v>
      </c>
      <c r="C21" s="214">
        <v>5090</v>
      </c>
      <c r="D21" s="152">
        <v>4.74</v>
      </c>
      <c r="E21" s="152">
        <f t="shared" si="0"/>
        <v>241.27</v>
      </c>
      <c r="F21" s="152">
        <f>7.5+1.21</f>
        <v>8.71</v>
      </c>
      <c r="G21" s="89">
        <v>37699</v>
      </c>
      <c r="H21" s="151">
        <v>5090</v>
      </c>
      <c r="I21" s="157">
        <v>1.92</v>
      </c>
      <c r="J21" s="152">
        <f>H21*I21/100</f>
        <v>97.728</v>
      </c>
      <c r="K21" s="152">
        <v>7.5</v>
      </c>
      <c r="L21" s="213">
        <f>J21-K21-F21-E21</f>
        <v>-159.752</v>
      </c>
    </row>
    <row r="22" spans="1:12" s="156" customFormat="1" ht="12.75">
      <c r="A22" s="159">
        <v>37510</v>
      </c>
      <c r="B22" s="83" t="s">
        <v>230</v>
      </c>
      <c r="C22" s="214">
        <v>650</v>
      </c>
      <c r="D22" s="152">
        <v>152.44</v>
      </c>
      <c r="E22" s="152">
        <f aca="true" t="shared" si="1" ref="E22:E27">ROUND(C22*D22/100,2)</f>
        <v>990.86</v>
      </c>
      <c r="F22" s="152">
        <f>7.5+4.95</f>
        <v>12.45</v>
      </c>
      <c r="G22" s="89"/>
      <c r="H22" s="151"/>
      <c r="I22" s="157"/>
      <c r="J22" s="152"/>
      <c r="K22" s="152"/>
      <c r="L22" s="213"/>
    </row>
    <row r="23" spans="1:12" s="156" customFormat="1" ht="12.75">
      <c r="A23" s="155">
        <v>37642</v>
      </c>
      <c r="B23" s="156" t="s">
        <v>159</v>
      </c>
      <c r="C23" s="157">
        <v>4295</v>
      </c>
      <c r="D23" s="152">
        <v>22.99</v>
      </c>
      <c r="E23" s="152">
        <f t="shared" si="1"/>
        <v>987.42</v>
      </c>
      <c r="F23" s="152">
        <f>7.5+4.94</f>
        <v>12.440000000000001</v>
      </c>
      <c r="G23" s="89"/>
      <c r="H23" s="151"/>
      <c r="I23" s="157"/>
      <c r="J23" s="152"/>
      <c r="K23" s="152"/>
      <c r="L23" s="213"/>
    </row>
    <row r="24" spans="1:12" s="156" customFormat="1" ht="12.75">
      <c r="A24" s="155">
        <v>37665</v>
      </c>
      <c r="B24" s="156" t="s">
        <v>270</v>
      </c>
      <c r="C24" s="157">
        <v>249</v>
      </c>
      <c r="D24" s="152">
        <v>196.8</v>
      </c>
      <c r="E24" s="152">
        <f t="shared" si="1"/>
        <v>490.03</v>
      </c>
      <c r="F24" s="152">
        <f>7.5+2.45</f>
        <v>9.95</v>
      </c>
      <c r="G24" s="89">
        <v>37692</v>
      </c>
      <c r="H24" s="214">
        <v>249</v>
      </c>
      <c r="I24" s="152">
        <v>192.08</v>
      </c>
      <c r="J24" s="152">
        <f>ROUND(H24*I24/100,2)</f>
        <v>478.28</v>
      </c>
      <c r="K24" s="152">
        <v>7.5</v>
      </c>
      <c r="L24" s="213">
        <f>J24-K24-F24-E24</f>
        <v>-29.19999999999999</v>
      </c>
    </row>
    <row r="25" spans="1:12" s="156" customFormat="1" ht="12.75">
      <c r="A25" s="58">
        <v>37684</v>
      </c>
      <c r="B25" s="50" t="s">
        <v>274</v>
      </c>
      <c r="C25" s="53">
        <v>182</v>
      </c>
      <c r="D25" s="78">
        <v>268.75</v>
      </c>
      <c r="E25" s="78">
        <f t="shared" si="1"/>
        <v>489.13</v>
      </c>
      <c r="F25" s="78">
        <f>7.5+2.45</f>
        <v>9.95</v>
      </c>
      <c r="G25" s="89"/>
      <c r="H25" s="151"/>
      <c r="I25" s="157"/>
      <c r="J25" s="152"/>
      <c r="K25" s="152"/>
      <c r="L25" s="213"/>
    </row>
    <row r="26" spans="1:12" s="156" customFormat="1" ht="12.75">
      <c r="A26" s="58">
        <v>37699</v>
      </c>
      <c r="B26" s="50" t="s">
        <v>61</v>
      </c>
      <c r="C26" s="53">
        <v>526</v>
      </c>
      <c r="D26" s="78">
        <v>187.44</v>
      </c>
      <c r="E26" s="78">
        <f t="shared" si="1"/>
        <v>985.93</v>
      </c>
      <c r="F26" s="78">
        <f>7.5+4.93</f>
        <v>12.43</v>
      </c>
      <c r="G26" s="89"/>
      <c r="H26" s="151"/>
      <c r="I26" s="157"/>
      <c r="J26" s="152"/>
      <c r="K26" s="152"/>
      <c r="L26" s="213"/>
    </row>
    <row r="27" spans="1:12" s="156" customFormat="1" ht="12.75">
      <c r="A27" s="58">
        <v>37699</v>
      </c>
      <c r="B27" s="50" t="s">
        <v>193</v>
      </c>
      <c r="C27" s="53">
        <v>272</v>
      </c>
      <c r="D27" s="78">
        <v>362.1</v>
      </c>
      <c r="E27" s="78">
        <f t="shared" si="1"/>
        <v>984.91</v>
      </c>
      <c r="F27" s="78">
        <f>7.5+4.92</f>
        <v>12.42</v>
      </c>
      <c r="G27" s="89"/>
      <c r="H27" s="151"/>
      <c r="I27" s="157"/>
      <c r="J27" s="152"/>
      <c r="K27" s="152"/>
      <c r="L27" s="213"/>
    </row>
    <row r="28" spans="1:12" ht="12.75">
      <c r="A28" s="73" t="s">
        <v>47</v>
      </c>
      <c r="C28" s="53"/>
      <c r="D28" s="78"/>
      <c r="E28" s="79">
        <f>SUM(E5:E27)</f>
        <v>18429.300000000003</v>
      </c>
      <c r="F28" s="150">
        <f>SUM(F5:F27)</f>
        <v>296.19</v>
      </c>
      <c r="G28" s="76"/>
      <c r="H28" s="153"/>
      <c r="I28" s="78"/>
      <c r="J28" s="78"/>
      <c r="K28" s="79">
        <f>SUM(K5:K27)</f>
        <v>96</v>
      </c>
      <c r="L28" s="79">
        <f>SUM(L5:L27)</f>
        <v>-2974.5673999999995</v>
      </c>
    </row>
    <row r="29" spans="1:12" ht="12.75">
      <c r="A29" s="54" t="s">
        <v>198</v>
      </c>
      <c r="C29" s="53"/>
      <c r="D29" s="53"/>
      <c r="E29" s="79">
        <f>E20+E6+E21+E22+E8+E23+E24+E25+E26+E27</f>
        <v>7382.58</v>
      </c>
      <c r="F29" s="79">
        <f>F20+F6+F21+F22+F8+F23+F24+F25+F26+F27</f>
        <v>116.42</v>
      </c>
      <c r="G29" s="77"/>
      <c r="H29" s="153"/>
      <c r="I29" s="154"/>
      <c r="J29" s="78"/>
      <c r="K29" s="79">
        <f>K16+K18+K19+K14+K9+K12+K20+K15+K24+K21+K10+K11</f>
        <v>96</v>
      </c>
      <c r="L29" s="79">
        <f>L16+L18+L19+L14+L9+L12+L20+L15+L24+L21</f>
        <v>-2906.895</v>
      </c>
    </row>
    <row r="30" spans="1:11" ht="12.75">
      <c r="A30" s="53"/>
      <c r="E30" s="52"/>
      <c r="F30" s="52"/>
      <c r="J30" s="51"/>
      <c r="K30" s="52"/>
    </row>
    <row r="31" spans="1:11" ht="12.75">
      <c r="A31" s="56" t="s">
        <v>69</v>
      </c>
      <c r="E31" s="52"/>
      <c r="F31" s="52"/>
      <c r="J31" s="51"/>
      <c r="K31" s="52"/>
    </row>
    <row r="32" spans="1:4" ht="12.75" customHeight="1">
      <c r="A32" s="73" t="s">
        <v>78</v>
      </c>
      <c r="D32" s="78">
        <v>0</v>
      </c>
    </row>
    <row r="33" spans="1:4" ht="12.75" customHeight="1">
      <c r="A33" s="73" t="s">
        <v>79</v>
      </c>
      <c r="B33" s="50" t="s">
        <v>178</v>
      </c>
      <c r="D33" s="78">
        <v>25.24</v>
      </c>
    </row>
    <row r="34" spans="1:4" ht="12.75" customHeight="1">
      <c r="A34" s="73"/>
      <c r="B34" s="50" t="s">
        <v>174</v>
      </c>
      <c r="D34" s="78">
        <v>15.06</v>
      </c>
    </row>
    <row r="35" spans="2:4" ht="12.75" customHeight="1">
      <c r="B35" s="50" t="s">
        <v>151</v>
      </c>
      <c r="D35" s="53">
        <v>20.16</v>
      </c>
    </row>
    <row r="36" spans="1:4" ht="12.75" customHeight="1">
      <c r="A36" s="50" t="s">
        <v>112</v>
      </c>
      <c r="B36" s="50" t="s">
        <v>193</v>
      </c>
      <c r="D36" s="53">
        <v>18.58</v>
      </c>
    </row>
    <row r="37" spans="2:4" ht="12.75" customHeight="1">
      <c r="B37" s="50" t="s">
        <v>111</v>
      </c>
      <c r="D37" s="53">
        <v>0.56</v>
      </c>
    </row>
    <row r="38" spans="1:4" ht="12.75" customHeight="1">
      <c r="A38" s="50" t="s">
        <v>70</v>
      </c>
      <c r="B38" s="50" t="s">
        <v>61</v>
      </c>
      <c r="D38" s="53">
        <v>0.08</v>
      </c>
    </row>
    <row r="39" spans="1:4" ht="12.75" customHeight="1">
      <c r="A39" s="50" t="s">
        <v>116</v>
      </c>
      <c r="B39" s="50" t="s">
        <v>32</v>
      </c>
      <c r="D39" s="53">
        <v>13.97</v>
      </c>
    </row>
    <row r="40" spans="1:4" ht="12.75" customHeight="1">
      <c r="A40" s="50" t="s">
        <v>150</v>
      </c>
      <c r="B40" s="50" t="s">
        <v>118</v>
      </c>
      <c r="D40" s="53">
        <v>45.39</v>
      </c>
    </row>
    <row r="41" spans="2:4" ht="12.75" customHeight="1">
      <c r="B41" s="50" t="s">
        <v>184</v>
      </c>
      <c r="D41" s="53">
        <v>5.43</v>
      </c>
    </row>
    <row r="42" spans="1:4" ht="12.75" customHeight="1">
      <c r="A42" s="50" t="s">
        <v>158</v>
      </c>
      <c r="B42" s="50" t="s">
        <v>193</v>
      </c>
      <c r="D42" s="53">
        <v>14.14</v>
      </c>
    </row>
    <row r="43" spans="2:4" ht="12.75" customHeight="1">
      <c r="B43" s="50" t="s">
        <v>188</v>
      </c>
      <c r="D43" s="78">
        <v>11.2</v>
      </c>
    </row>
    <row r="44" spans="2:4" ht="12.75" customHeight="1">
      <c r="B44" s="50" t="s">
        <v>61</v>
      </c>
      <c r="D44" s="53">
        <v>0.04</v>
      </c>
    </row>
    <row r="45" spans="1:4" ht="12.75" customHeight="1">
      <c r="A45" s="50" t="s">
        <v>166</v>
      </c>
      <c r="B45" s="50" t="s">
        <v>32</v>
      </c>
      <c r="D45" s="53">
        <v>13.97</v>
      </c>
    </row>
    <row r="46" spans="1:4" ht="12.75" customHeight="1">
      <c r="A46" s="50" t="s">
        <v>176</v>
      </c>
      <c r="B46" s="50" t="s">
        <v>118</v>
      </c>
      <c r="D46" s="53">
        <v>39.69</v>
      </c>
    </row>
    <row r="47" spans="1:4" ht="12.75" customHeight="1">
      <c r="A47" s="50" t="s">
        <v>181</v>
      </c>
      <c r="B47" s="50" t="s">
        <v>235</v>
      </c>
      <c r="D47" s="78">
        <v>18.2</v>
      </c>
    </row>
    <row r="48" ht="12.75">
      <c r="D48" s="79">
        <f>SUM(D32:D47)</f>
        <v>241.70999999999998</v>
      </c>
    </row>
    <row r="50" spans="2:12" ht="12.75">
      <c r="B50" s="49" t="s">
        <v>92</v>
      </c>
      <c r="D50" s="232" t="s">
        <v>164</v>
      </c>
      <c r="F50" s="232" t="s">
        <v>187</v>
      </c>
      <c r="H50" s="49" t="s">
        <v>113</v>
      </c>
      <c r="I50" s="49"/>
      <c r="L50" s="57"/>
    </row>
    <row r="51" spans="1:12" ht="12.75">
      <c r="A51" s="50" t="s">
        <v>78</v>
      </c>
      <c r="B51" s="60">
        <f>Cash!E20</f>
        <v>0.02</v>
      </c>
      <c r="D51" s="53">
        <f>Cash!E19</f>
        <v>0.05</v>
      </c>
      <c r="L51" s="57"/>
    </row>
    <row r="52" spans="1:12" ht="12.75">
      <c r="A52" s="50" t="s">
        <v>79</v>
      </c>
      <c r="B52" s="60">
        <v>0.03</v>
      </c>
      <c r="D52" s="53"/>
      <c r="L52" s="57"/>
    </row>
    <row r="53" spans="1:12" ht="12.75">
      <c r="A53" s="50" t="s">
        <v>214</v>
      </c>
      <c r="B53" s="60"/>
      <c r="D53" s="53">
        <v>0.04</v>
      </c>
      <c r="L53" s="57"/>
    </row>
    <row r="54" spans="1:12" ht="12.75">
      <c r="A54" s="50" t="s">
        <v>228</v>
      </c>
      <c r="B54" s="60">
        <v>0.02</v>
      </c>
      <c r="D54" s="53"/>
      <c r="L54" s="57"/>
    </row>
    <row r="55" spans="1:12" ht="12.75">
      <c r="A55" s="50" t="s">
        <v>229</v>
      </c>
      <c r="B55" s="60">
        <v>0.01</v>
      </c>
      <c r="D55" s="53"/>
      <c r="L55" s="57"/>
    </row>
    <row r="56" spans="1:12" ht="12.75">
      <c r="A56" s="50" t="s">
        <v>238</v>
      </c>
      <c r="B56" s="60">
        <v>0.02</v>
      </c>
      <c r="D56" s="53"/>
      <c r="F56" s="53">
        <v>1.32</v>
      </c>
      <c r="G56" s="53"/>
      <c r="H56" s="53">
        <v>0.27</v>
      </c>
      <c r="L56" s="57"/>
    </row>
    <row r="57" spans="1:12" ht="12.75">
      <c r="A57" s="50" t="s">
        <v>255</v>
      </c>
      <c r="B57" s="60">
        <v>0.03</v>
      </c>
      <c r="D57" s="53"/>
      <c r="F57" s="53"/>
      <c r="G57" s="53"/>
      <c r="H57" s="53"/>
      <c r="L57" s="57"/>
    </row>
    <row r="58" spans="1:12" ht="12.75">
      <c r="A58" s="50" t="s">
        <v>256</v>
      </c>
      <c r="B58" s="60">
        <v>0.05</v>
      </c>
      <c r="D58" s="53"/>
      <c r="F58" s="53"/>
      <c r="G58" s="53"/>
      <c r="H58" s="53"/>
      <c r="L58" s="57"/>
    </row>
    <row r="59" spans="1:12" ht="12.75">
      <c r="A59" s="50" t="s">
        <v>261</v>
      </c>
      <c r="B59" s="60">
        <v>0.1</v>
      </c>
      <c r="D59" s="53"/>
      <c r="F59" s="53"/>
      <c r="G59" s="53"/>
      <c r="H59" s="53">
        <v>0.27</v>
      </c>
      <c r="L59" s="57"/>
    </row>
    <row r="60" spans="1:12" ht="12.75">
      <c r="A60" s="50" t="s">
        <v>267</v>
      </c>
      <c r="B60" s="60">
        <v>4.44</v>
      </c>
      <c r="D60" s="53"/>
      <c r="F60" s="53"/>
      <c r="G60" s="53"/>
      <c r="H60" s="53"/>
      <c r="L60" s="57"/>
    </row>
    <row r="61" spans="1:12" ht="12.75">
      <c r="A61" s="50" t="s">
        <v>272</v>
      </c>
      <c r="B61" s="60">
        <v>3.43</v>
      </c>
      <c r="D61" s="53"/>
      <c r="F61" s="53"/>
      <c r="G61" s="53"/>
      <c r="H61" s="53"/>
      <c r="L61" s="57"/>
    </row>
    <row r="62" spans="1:12" ht="12.75">
      <c r="A62" s="50" t="s">
        <v>277</v>
      </c>
      <c r="B62" s="60">
        <v>2.06</v>
      </c>
      <c r="D62" s="53"/>
      <c r="F62" s="53"/>
      <c r="G62" s="53"/>
      <c r="H62" s="53">
        <v>0.27</v>
      </c>
      <c r="L62" s="57"/>
    </row>
    <row r="63" spans="2:9" ht="12.75">
      <c r="B63" s="55">
        <f>SUM(B51:B62)</f>
        <v>10.21</v>
      </c>
      <c r="D63" s="79">
        <f>SUM(D51:D62)</f>
        <v>0.09</v>
      </c>
      <c r="F63" s="79">
        <f>SUM(F51:F62)</f>
        <v>1.32</v>
      </c>
      <c r="H63" s="79">
        <f>SUM(H51:H62)</f>
        <v>0.81</v>
      </c>
      <c r="I63" s="66"/>
    </row>
    <row r="64" spans="2:9" ht="12.75">
      <c r="B64" s="66"/>
      <c r="D64" s="66"/>
      <c r="H64" s="66"/>
      <c r="I64" s="66"/>
    </row>
    <row r="65" spans="1:6" ht="12.75">
      <c r="A65" s="49" t="s">
        <v>71</v>
      </c>
      <c r="D65" s="53" t="s">
        <v>197</v>
      </c>
      <c r="E65" s="53" t="s">
        <v>109</v>
      </c>
      <c r="F65" s="53" t="s">
        <v>190</v>
      </c>
    </row>
    <row r="66" spans="1:6" ht="12.75">
      <c r="A66" s="50" t="s">
        <v>72</v>
      </c>
      <c r="D66" s="78">
        <f>SUM(L5:L27)</f>
        <v>-2974.5673999999995</v>
      </c>
      <c r="E66" s="78">
        <v>-964.1882999999997</v>
      </c>
      <c r="F66" s="53">
        <v>354.67</v>
      </c>
    </row>
    <row r="67" spans="1:6" ht="12.75">
      <c r="A67" s="50" t="s">
        <v>73</v>
      </c>
      <c r="D67" s="78">
        <f>D48</f>
        <v>241.70999999999998</v>
      </c>
      <c r="E67" s="78">
        <v>281.98</v>
      </c>
      <c r="F67" s="53">
        <v>65.84</v>
      </c>
    </row>
    <row r="68" spans="1:6" ht="12.75">
      <c r="A68" s="50" t="s">
        <v>74</v>
      </c>
      <c r="C68" s="50" t="s">
        <v>86</v>
      </c>
      <c r="D68" s="78">
        <f>D63+F63</f>
        <v>1.4100000000000001</v>
      </c>
      <c r="E68" s="78">
        <v>18.31</v>
      </c>
      <c r="F68" s="53">
        <v>14.02</v>
      </c>
    </row>
    <row r="69" spans="3:6" ht="12.75">
      <c r="C69" s="50" t="s">
        <v>87</v>
      </c>
      <c r="D69" s="78">
        <f>B63</f>
        <v>10.21</v>
      </c>
      <c r="E69" s="78">
        <v>0.81</v>
      </c>
      <c r="F69" s="53">
        <v>3.71</v>
      </c>
    </row>
    <row r="70" spans="1:6" ht="12.75">
      <c r="A70" s="50" t="s">
        <v>75</v>
      </c>
      <c r="D70" s="79">
        <f>SUM(D66:D69)</f>
        <v>-2721.2373999999995</v>
      </c>
      <c r="E70" s="79">
        <v>-663.0882999999999</v>
      </c>
      <c r="F70" s="233">
        <v>438.24</v>
      </c>
    </row>
    <row r="71" spans="1:6" ht="12.75">
      <c r="A71" s="50" t="s">
        <v>76</v>
      </c>
      <c r="D71" s="78">
        <f>-(F29+K29)</f>
        <v>-212.42000000000002</v>
      </c>
      <c r="E71" s="78">
        <v>-510.07</v>
      </c>
      <c r="F71" s="53">
        <v>-287.21</v>
      </c>
    </row>
    <row r="72" spans="1:6" ht="12.75">
      <c r="A72" s="50" t="s">
        <v>93</v>
      </c>
      <c r="D72" s="78">
        <f>H63*-1</f>
        <v>-0.81</v>
      </c>
      <c r="E72" s="78">
        <v>-0.28</v>
      </c>
      <c r="F72" s="53">
        <v>-325.3</v>
      </c>
    </row>
    <row r="73" spans="1:6" ht="12.75">
      <c r="A73" s="50" t="s">
        <v>77</v>
      </c>
      <c r="D73" s="80">
        <f>SUM(D70:D72)</f>
        <v>-2934.4673999999995</v>
      </c>
      <c r="E73" s="80">
        <v>-1173.4383</v>
      </c>
      <c r="F73" s="80">
        <v>-174.27</v>
      </c>
    </row>
    <row r="75" ht="12" customHeight="1"/>
    <row r="76" ht="12" customHeight="1"/>
  </sheetData>
  <conditionalFormatting sqref="L5:L2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5"/>
  <sheetViews>
    <sheetView zoomScale="85" zoomScaleNormal="85" workbookViewId="0" topLeftCell="A1">
      <selection activeCell="A1" sqref="A1:B1"/>
    </sheetView>
  </sheetViews>
  <sheetFormatPr defaultColWidth="9.140625" defaultRowHeight="12.75" outlineLevelRow="1"/>
  <cols>
    <col min="1" max="1" width="10.00390625" style="0" customWidth="1"/>
    <col min="2" max="2" width="27.7109375" style="0" customWidth="1"/>
    <col min="7" max="7" width="9.7109375" style="0" bestFit="1" customWidth="1"/>
  </cols>
  <sheetData>
    <row r="1" spans="1:5" ht="12.75">
      <c r="A1" s="282" t="s">
        <v>138</v>
      </c>
      <c r="B1" s="282"/>
      <c r="C1" s="2"/>
      <c r="D1" s="2"/>
      <c r="E1" s="2"/>
    </row>
    <row r="2" spans="1:5" ht="12.75" customHeight="1" hidden="1" outlineLevel="1">
      <c r="A2" s="120" t="s">
        <v>0</v>
      </c>
      <c r="B2" s="120" t="s">
        <v>1</v>
      </c>
      <c r="C2" s="121" t="s">
        <v>132</v>
      </c>
      <c r="D2" s="121" t="s">
        <v>133</v>
      </c>
      <c r="E2" s="121" t="s">
        <v>134</v>
      </c>
    </row>
    <row r="3" spans="1:5" ht="12.75" hidden="1" outlineLevel="1">
      <c r="A3" s="140">
        <v>37348</v>
      </c>
      <c r="B3" t="s">
        <v>105</v>
      </c>
      <c r="C3" s="129"/>
      <c r="D3" s="129">
        <v>30</v>
      </c>
      <c r="E3" s="129">
        <f>30</f>
        <v>30</v>
      </c>
    </row>
    <row r="4" spans="1:5" ht="12.75" hidden="1" outlineLevel="1">
      <c r="A4" s="122"/>
      <c r="B4" t="s">
        <v>5</v>
      </c>
      <c r="D4" s="129">
        <v>30</v>
      </c>
      <c r="E4" s="129">
        <f>SUM(B4:D4)+E3</f>
        <v>60</v>
      </c>
    </row>
    <row r="5" spans="1:5" ht="12.75" hidden="1" outlineLevel="1">
      <c r="A5" s="122"/>
      <c r="B5" t="s">
        <v>10</v>
      </c>
      <c r="C5" s="129"/>
      <c r="D5" s="129">
        <v>30</v>
      </c>
      <c r="E5" s="129">
        <f aca="true" t="shared" si="0" ref="E5:E11">SUM(C5:D5)+E4</f>
        <v>90</v>
      </c>
    </row>
    <row r="6" spans="1:5" ht="12.75" hidden="1" outlineLevel="1">
      <c r="A6" s="140">
        <v>37349</v>
      </c>
      <c r="B6" s="7" t="s">
        <v>7</v>
      </c>
      <c r="D6" s="129">
        <v>30</v>
      </c>
      <c r="E6" s="129">
        <f>SUM(B6:D6)+E5</f>
        <v>120</v>
      </c>
    </row>
    <row r="7" spans="1:5" ht="12.75" hidden="1" outlineLevel="1">
      <c r="A7" s="140">
        <v>37350</v>
      </c>
      <c r="B7" t="s">
        <v>6</v>
      </c>
      <c r="C7" s="7"/>
      <c r="D7" s="129">
        <v>30</v>
      </c>
      <c r="E7" s="129">
        <f>SUM(B7:D7)+E6</f>
        <v>150</v>
      </c>
    </row>
    <row r="8" spans="2:5" ht="12.75" hidden="1" outlineLevel="1">
      <c r="B8" t="s">
        <v>53</v>
      </c>
      <c r="C8" s="129"/>
      <c r="D8" s="129">
        <v>30</v>
      </c>
      <c r="E8" s="129">
        <f>SUM(C8:D8)+E7</f>
        <v>180</v>
      </c>
    </row>
    <row r="9" spans="1:5" ht="12.75" hidden="1" outlineLevel="1">
      <c r="A9" s="122"/>
      <c r="B9" s="7" t="s">
        <v>9</v>
      </c>
      <c r="C9" s="129"/>
      <c r="D9" s="129">
        <v>30</v>
      </c>
      <c r="E9" s="129">
        <f t="shared" si="0"/>
        <v>210</v>
      </c>
    </row>
    <row r="10" spans="1:5" ht="12.75" hidden="1" outlineLevel="1">
      <c r="A10" s="140"/>
      <c r="B10" t="s">
        <v>11</v>
      </c>
      <c r="D10" s="129">
        <v>30</v>
      </c>
      <c r="E10" s="129">
        <f>SUM(C10:D10)+E9</f>
        <v>240</v>
      </c>
    </row>
    <row r="11" spans="1:5" ht="12.75" hidden="1" outlineLevel="1">
      <c r="A11" s="140"/>
      <c r="B11" s="7" t="s">
        <v>50</v>
      </c>
      <c r="C11" s="101"/>
      <c r="D11" s="101">
        <v>30</v>
      </c>
      <c r="E11" s="101">
        <f t="shared" si="0"/>
        <v>270</v>
      </c>
    </row>
    <row r="12" spans="1:5" ht="12.75" hidden="1" outlineLevel="1">
      <c r="A12" s="140"/>
      <c r="B12" s="7" t="s">
        <v>49</v>
      </c>
      <c r="C12" s="129"/>
      <c r="D12" s="129">
        <v>30</v>
      </c>
      <c r="E12" s="101">
        <f aca="true" t="shared" si="1" ref="E12:E20">SUM(C12:D12)+E11</f>
        <v>300</v>
      </c>
    </row>
    <row r="13" spans="2:5" ht="12.75" hidden="1" outlineLevel="1">
      <c r="B13" t="s">
        <v>52</v>
      </c>
      <c r="D13" s="129">
        <v>30</v>
      </c>
      <c r="E13" s="101">
        <f t="shared" si="1"/>
        <v>330</v>
      </c>
    </row>
    <row r="14" spans="1:5" ht="12.75" hidden="1" outlineLevel="1">
      <c r="A14" s="140">
        <v>37351</v>
      </c>
      <c r="B14" t="s">
        <v>54</v>
      </c>
      <c r="C14" s="129"/>
      <c r="D14" s="129">
        <v>30</v>
      </c>
      <c r="E14" s="101">
        <f t="shared" si="1"/>
        <v>360</v>
      </c>
    </row>
    <row r="15" spans="1:5" ht="12.75" hidden="1" outlineLevel="1">
      <c r="A15" s="122"/>
      <c r="B15" t="s">
        <v>56</v>
      </c>
      <c r="D15" s="129">
        <v>30</v>
      </c>
      <c r="E15" s="101">
        <f t="shared" si="1"/>
        <v>390</v>
      </c>
    </row>
    <row r="16" spans="1:5" ht="12.75" hidden="1" outlineLevel="1">
      <c r="A16" s="122"/>
      <c r="B16" t="s">
        <v>8</v>
      </c>
      <c r="D16" s="129">
        <v>30</v>
      </c>
      <c r="E16" s="101">
        <f t="shared" si="1"/>
        <v>420</v>
      </c>
    </row>
    <row r="17" spans="1:5" ht="12.75" hidden="1" outlineLevel="1">
      <c r="A17" s="140">
        <v>37356</v>
      </c>
      <c r="B17" t="s">
        <v>145</v>
      </c>
      <c r="C17" s="125"/>
      <c r="D17" s="125">
        <v>0.02</v>
      </c>
      <c r="E17" s="101">
        <f t="shared" si="1"/>
        <v>420.02</v>
      </c>
    </row>
    <row r="18" spans="1:5" ht="12.75" hidden="1" outlineLevel="1">
      <c r="A18" s="142">
        <v>37357</v>
      </c>
      <c r="B18" s="71" t="s">
        <v>168</v>
      </c>
      <c r="C18" s="122">
        <v>-420</v>
      </c>
      <c r="E18" s="101">
        <f t="shared" si="1"/>
        <v>0.01999999999998181</v>
      </c>
    </row>
    <row r="19" spans="1:5" ht="12.75" hidden="1" outlineLevel="1">
      <c r="A19" s="140">
        <v>37361</v>
      </c>
      <c r="B19" s="7" t="s">
        <v>183</v>
      </c>
      <c r="D19" s="122">
        <v>1400</v>
      </c>
      <c r="E19" s="101">
        <f t="shared" si="1"/>
        <v>1400.02</v>
      </c>
    </row>
    <row r="20" spans="1:5" ht="13.5" hidden="1" outlineLevel="1" thickBot="1">
      <c r="A20" s="141">
        <v>37365</v>
      </c>
      <c r="B20" s="216" t="s">
        <v>168</v>
      </c>
      <c r="C20" s="130">
        <v>-1400.02</v>
      </c>
      <c r="D20" s="5"/>
      <c r="E20" s="131">
        <f t="shared" si="1"/>
        <v>0</v>
      </c>
    </row>
    <row r="21" spans="1:5" ht="12.75" collapsed="1">
      <c r="A21" s="123" t="s">
        <v>134</v>
      </c>
      <c r="E21" s="138">
        <f>E20</f>
        <v>0</v>
      </c>
    </row>
    <row r="23" spans="1:5" ht="12.75">
      <c r="A23" s="282" t="s">
        <v>140</v>
      </c>
      <c r="B23" s="282"/>
      <c r="C23" s="2"/>
      <c r="D23" s="2"/>
      <c r="E23" s="2"/>
    </row>
    <row r="24" spans="1:5" ht="12.75" hidden="1" outlineLevel="1">
      <c r="A24" s="120" t="s">
        <v>0</v>
      </c>
      <c r="B24" s="120" t="s">
        <v>1</v>
      </c>
      <c r="C24" s="121" t="s">
        <v>132</v>
      </c>
      <c r="D24" s="121" t="s">
        <v>133</v>
      </c>
      <c r="E24" s="121" t="s">
        <v>134</v>
      </c>
    </row>
    <row r="25" spans="1:5" ht="12.75" hidden="1" outlineLevel="1">
      <c r="A25" s="140">
        <v>37377</v>
      </c>
      <c r="B25" t="s">
        <v>105</v>
      </c>
      <c r="C25" s="129"/>
      <c r="D25" s="129">
        <v>30</v>
      </c>
      <c r="E25" s="129">
        <f>SUM(C25:D25)+E21</f>
        <v>30</v>
      </c>
    </row>
    <row r="26" spans="1:5" ht="12.75" hidden="1" outlineLevel="1">
      <c r="A26" s="122"/>
      <c r="B26" t="s">
        <v>5</v>
      </c>
      <c r="C26" s="129"/>
      <c r="D26" s="129">
        <v>30</v>
      </c>
      <c r="E26" s="129">
        <f aca="true" t="shared" si="2" ref="E26:E31">SUM(C26:D26)+E25</f>
        <v>60</v>
      </c>
    </row>
    <row r="27" spans="1:5" ht="12.75" hidden="1" outlineLevel="1">
      <c r="A27" s="140"/>
      <c r="B27" t="s">
        <v>10</v>
      </c>
      <c r="C27" s="129"/>
      <c r="D27" s="129">
        <v>30</v>
      </c>
      <c r="E27" s="129">
        <f>SUM(C27:D27)+E26</f>
        <v>90</v>
      </c>
    </row>
    <row r="28" spans="1:5" ht="12.75" hidden="1" outlineLevel="1">
      <c r="A28" s="140"/>
      <c r="B28" s="7" t="s">
        <v>7</v>
      </c>
      <c r="C28" s="101"/>
      <c r="D28" s="129">
        <v>30</v>
      </c>
      <c r="E28" s="129">
        <f t="shared" si="2"/>
        <v>120</v>
      </c>
    </row>
    <row r="29" spans="1:5" ht="12.75" hidden="1" outlineLevel="1">
      <c r="A29" s="140">
        <v>37379</v>
      </c>
      <c r="B29" t="s">
        <v>6</v>
      </c>
      <c r="C29" s="101"/>
      <c r="D29" s="129">
        <v>30</v>
      </c>
      <c r="E29" s="129">
        <f t="shared" si="2"/>
        <v>150</v>
      </c>
    </row>
    <row r="30" spans="2:5" ht="12.75" hidden="1" outlineLevel="1">
      <c r="B30" t="s">
        <v>53</v>
      </c>
      <c r="C30" s="7"/>
      <c r="D30" s="129">
        <v>30</v>
      </c>
      <c r="E30" s="129">
        <f t="shared" si="2"/>
        <v>180</v>
      </c>
    </row>
    <row r="31" spans="1:5" ht="12.75" hidden="1" outlineLevel="1">
      <c r="A31" s="122"/>
      <c r="B31" s="7" t="s">
        <v>9</v>
      </c>
      <c r="C31" s="7"/>
      <c r="D31" s="101">
        <v>30</v>
      </c>
      <c r="E31" s="101">
        <f t="shared" si="2"/>
        <v>210</v>
      </c>
    </row>
    <row r="32" spans="1:5" ht="12.75" hidden="1" outlineLevel="1">
      <c r="A32" s="122"/>
      <c r="B32" t="s">
        <v>11</v>
      </c>
      <c r="C32" s="7"/>
      <c r="D32" s="129">
        <v>30</v>
      </c>
      <c r="E32" s="101">
        <f aca="true" t="shared" si="3" ref="E32:E40">SUM(C32:D32)+E31</f>
        <v>240</v>
      </c>
    </row>
    <row r="33" spans="1:5" ht="12.75" hidden="1" outlineLevel="1">
      <c r="A33" s="122"/>
      <c r="B33" s="7" t="s">
        <v>50</v>
      </c>
      <c r="C33" s="7"/>
      <c r="D33" s="129">
        <v>30</v>
      </c>
      <c r="E33" s="101">
        <f t="shared" si="3"/>
        <v>270</v>
      </c>
    </row>
    <row r="34" spans="1:5" ht="12.75" hidden="1" outlineLevel="1">
      <c r="A34" s="122"/>
      <c r="B34" t="s">
        <v>56</v>
      </c>
      <c r="C34" s="7"/>
      <c r="D34" s="129">
        <v>30</v>
      </c>
      <c r="E34" s="101">
        <f t="shared" si="3"/>
        <v>300</v>
      </c>
    </row>
    <row r="35" spans="2:5" ht="12.75" hidden="1" outlineLevel="1">
      <c r="B35" s="7" t="s">
        <v>49</v>
      </c>
      <c r="D35" s="129">
        <v>30</v>
      </c>
      <c r="E35" s="101">
        <f t="shared" si="3"/>
        <v>330</v>
      </c>
    </row>
    <row r="36" spans="1:5" ht="12.75" hidden="1" outlineLevel="1">
      <c r="A36" s="122"/>
      <c r="B36" s="7" t="s">
        <v>52</v>
      </c>
      <c r="C36" s="7"/>
      <c r="D36" s="129">
        <v>30</v>
      </c>
      <c r="E36" s="101">
        <f t="shared" si="3"/>
        <v>360</v>
      </c>
    </row>
    <row r="37" spans="1:5" ht="12.75" hidden="1" outlineLevel="1">
      <c r="A37" s="140">
        <v>37383</v>
      </c>
      <c r="B37" s="7" t="s">
        <v>8</v>
      </c>
      <c r="C37" s="7"/>
      <c r="D37" s="129">
        <v>30</v>
      </c>
      <c r="E37" s="101">
        <f t="shared" si="3"/>
        <v>390</v>
      </c>
    </row>
    <row r="38" spans="1:5" ht="12.75" hidden="1" outlineLevel="1">
      <c r="A38" s="140">
        <v>37384</v>
      </c>
      <c r="B38" s="7" t="s">
        <v>54</v>
      </c>
      <c r="C38" s="7"/>
      <c r="D38" s="129">
        <v>30</v>
      </c>
      <c r="E38" s="101">
        <f t="shared" si="3"/>
        <v>420</v>
      </c>
    </row>
    <row r="39" spans="1:5" ht="12.75" hidden="1" outlineLevel="1">
      <c r="A39" s="140">
        <v>37386</v>
      </c>
      <c r="B39" t="s">
        <v>145</v>
      </c>
      <c r="D39" s="122">
        <v>0.03</v>
      </c>
      <c r="E39" s="101">
        <f t="shared" si="3"/>
        <v>420.03</v>
      </c>
    </row>
    <row r="40" spans="1:5" ht="13.5" hidden="1" outlineLevel="1" thickBot="1">
      <c r="A40" s="141">
        <v>37390</v>
      </c>
      <c r="B40" s="216" t="s">
        <v>168</v>
      </c>
      <c r="C40" s="130">
        <v>-420</v>
      </c>
      <c r="D40" s="131"/>
      <c r="E40" s="131">
        <f t="shared" si="3"/>
        <v>0.029999999999972715</v>
      </c>
    </row>
    <row r="41" spans="1:5" ht="12.75" collapsed="1">
      <c r="A41" s="123" t="s">
        <v>134</v>
      </c>
      <c r="E41" s="138">
        <f>E40</f>
        <v>0.029999999999972715</v>
      </c>
    </row>
    <row r="43" spans="1:5" ht="12.75">
      <c r="A43" s="4" t="s">
        <v>141</v>
      </c>
      <c r="B43" s="123"/>
      <c r="C43" s="129"/>
      <c r="D43" s="129"/>
      <c r="E43" s="129"/>
    </row>
    <row r="44" spans="1:5" ht="12.75" hidden="1" outlineLevel="1">
      <c r="A44" s="120" t="s">
        <v>0</v>
      </c>
      <c r="B44" s="120" t="s">
        <v>1</v>
      </c>
      <c r="C44" s="121" t="s">
        <v>132</v>
      </c>
      <c r="D44" s="121" t="s">
        <v>133</v>
      </c>
      <c r="E44" s="121" t="s">
        <v>134</v>
      </c>
    </row>
    <row r="45" spans="1:5" ht="12.75" hidden="1" outlineLevel="1">
      <c r="A45" s="140">
        <v>37407</v>
      </c>
      <c r="B45" s="7" t="s">
        <v>7</v>
      </c>
      <c r="C45" s="129"/>
      <c r="D45" s="129">
        <v>30</v>
      </c>
      <c r="E45" s="129">
        <f>SUM(C45:D45)+E41</f>
        <v>30.029999999999973</v>
      </c>
    </row>
    <row r="46" spans="1:5" ht="12.75" hidden="1" outlineLevel="1">
      <c r="A46" s="140">
        <v>37412</v>
      </c>
      <c r="B46" t="s">
        <v>10</v>
      </c>
      <c r="C46" s="129"/>
      <c r="D46" s="129">
        <v>30</v>
      </c>
      <c r="E46" s="129">
        <f aca="true" t="shared" si="4" ref="E46:E53">SUM(C46:D46)+E45</f>
        <v>60.02999999999997</v>
      </c>
    </row>
    <row r="47" spans="2:5" ht="12.75" hidden="1" outlineLevel="1">
      <c r="B47" t="s">
        <v>105</v>
      </c>
      <c r="C47" s="129"/>
      <c r="D47" s="129">
        <v>30</v>
      </c>
      <c r="E47" s="129">
        <f t="shared" si="4"/>
        <v>90.02999999999997</v>
      </c>
    </row>
    <row r="48" spans="1:5" ht="12.75" hidden="1" outlineLevel="1">
      <c r="A48" s="140"/>
      <c r="B48" t="s">
        <v>5</v>
      </c>
      <c r="C48" s="2"/>
      <c r="D48" s="129">
        <v>30</v>
      </c>
      <c r="E48" s="129">
        <f t="shared" si="4"/>
        <v>120.02999999999997</v>
      </c>
    </row>
    <row r="49" spans="1:5" ht="12.75" hidden="1" outlineLevel="1">
      <c r="A49" s="140">
        <v>37414</v>
      </c>
      <c r="B49" s="7" t="s">
        <v>56</v>
      </c>
      <c r="C49" s="8"/>
      <c r="D49" s="101">
        <v>30</v>
      </c>
      <c r="E49" s="101">
        <f t="shared" si="4"/>
        <v>150.02999999999997</v>
      </c>
    </row>
    <row r="50" spans="1:5" ht="12.75" hidden="1" outlineLevel="1">
      <c r="A50" s="140"/>
      <c r="B50" s="7" t="s">
        <v>6</v>
      </c>
      <c r="C50" s="101"/>
      <c r="D50" s="129">
        <v>30</v>
      </c>
      <c r="E50" s="101">
        <f t="shared" si="4"/>
        <v>180.02999999999997</v>
      </c>
    </row>
    <row r="51" spans="1:5" ht="12.75" hidden="1" outlineLevel="1">
      <c r="A51" s="122"/>
      <c r="B51" s="7" t="s">
        <v>53</v>
      </c>
      <c r="D51" s="129">
        <v>30</v>
      </c>
      <c r="E51" s="101">
        <f t="shared" si="4"/>
        <v>210.02999999999997</v>
      </c>
    </row>
    <row r="52" spans="1:5" ht="12.75" hidden="1" outlineLevel="1">
      <c r="A52" s="122"/>
      <c r="B52" s="7" t="s">
        <v>9</v>
      </c>
      <c r="D52" s="129">
        <v>30</v>
      </c>
      <c r="E52" s="101">
        <f t="shared" si="4"/>
        <v>240.02999999999997</v>
      </c>
    </row>
    <row r="53" spans="1:5" ht="12.75" hidden="1" outlineLevel="1">
      <c r="A53" s="122"/>
      <c r="B53" s="7" t="s">
        <v>11</v>
      </c>
      <c r="D53" s="129">
        <v>30</v>
      </c>
      <c r="E53" s="101">
        <f t="shared" si="4"/>
        <v>270.03</v>
      </c>
    </row>
    <row r="54" spans="1:5" ht="12.75" hidden="1" outlineLevel="1">
      <c r="A54" s="122"/>
      <c r="B54" s="7" t="s">
        <v>49</v>
      </c>
      <c r="D54" s="129">
        <v>30</v>
      </c>
      <c r="E54" s="101">
        <f aca="true" t="shared" si="5" ref="E54:E59">SUM(C54:D54)+E53</f>
        <v>300.03</v>
      </c>
    </row>
    <row r="55" spans="1:5" ht="12.75" hidden="1" outlineLevel="1">
      <c r="A55" s="122"/>
      <c r="B55" s="7" t="s">
        <v>52</v>
      </c>
      <c r="D55" s="129">
        <v>30</v>
      </c>
      <c r="E55" s="101">
        <f t="shared" si="5"/>
        <v>330.03</v>
      </c>
    </row>
    <row r="56" spans="1:5" ht="12.75" hidden="1" outlineLevel="1">
      <c r="A56" s="122"/>
      <c r="B56" s="7" t="s">
        <v>50</v>
      </c>
      <c r="C56" s="7"/>
      <c r="D56" s="101">
        <v>30</v>
      </c>
      <c r="E56" s="101">
        <f t="shared" si="5"/>
        <v>360.03</v>
      </c>
    </row>
    <row r="57" spans="1:5" ht="12.75" hidden="1" outlineLevel="1">
      <c r="A57" s="140"/>
      <c r="B57" s="7" t="s">
        <v>54</v>
      </c>
      <c r="D57" s="129">
        <v>30</v>
      </c>
      <c r="E57" s="101">
        <f t="shared" si="5"/>
        <v>390.03</v>
      </c>
    </row>
    <row r="58" spans="1:5" ht="12.75" hidden="1" outlineLevel="1">
      <c r="A58" s="140">
        <v>37417</v>
      </c>
      <c r="B58" s="7" t="s">
        <v>8</v>
      </c>
      <c r="D58" s="129">
        <v>30</v>
      </c>
      <c r="E58" s="101">
        <f t="shared" si="5"/>
        <v>420.03</v>
      </c>
    </row>
    <row r="59" spans="1:5" ht="13.5" hidden="1" outlineLevel="1" thickBot="1">
      <c r="A59" s="141">
        <v>37426</v>
      </c>
      <c r="B59" s="216" t="s">
        <v>168</v>
      </c>
      <c r="C59" s="5">
        <v>-420.03</v>
      </c>
      <c r="D59" s="130">
        <v>0</v>
      </c>
      <c r="E59" s="131">
        <f t="shared" si="5"/>
        <v>0</v>
      </c>
    </row>
    <row r="60" spans="1:5" ht="12.75" collapsed="1">
      <c r="A60" s="123" t="s">
        <v>134</v>
      </c>
      <c r="E60" s="138">
        <f>E59</f>
        <v>0</v>
      </c>
    </row>
    <row r="62" spans="1:5" ht="12.75">
      <c r="A62" s="282" t="s">
        <v>142</v>
      </c>
      <c r="B62" s="282"/>
      <c r="C62" s="129"/>
      <c r="D62" s="129"/>
      <c r="E62" s="129"/>
    </row>
    <row r="63" spans="1:5" ht="12.75" hidden="1" outlineLevel="1">
      <c r="A63" s="120" t="s">
        <v>0</v>
      </c>
      <c r="B63" s="120" t="s">
        <v>1</v>
      </c>
      <c r="C63" s="121" t="s">
        <v>132</v>
      </c>
      <c r="D63" s="121" t="s">
        <v>133</v>
      </c>
      <c r="E63" s="121" t="s">
        <v>134</v>
      </c>
    </row>
    <row r="64" spans="1:5" ht="12.75" hidden="1" outlineLevel="1">
      <c r="A64" s="140">
        <v>37438</v>
      </c>
      <c r="B64" t="s">
        <v>105</v>
      </c>
      <c r="C64" s="129"/>
      <c r="D64" s="129">
        <v>30</v>
      </c>
      <c r="E64" s="129">
        <f>SUM(C64:D64)+E60</f>
        <v>30</v>
      </c>
    </row>
    <row r="65" spans="1:5" ht="12.75" hidden="1" outlineLevel="1">
      <c r="A65" s="122"/>
      <c r="B65" t="s">
        <v>5</v>
      </c>
      <c r="C65" s="129"/>
      <c r="D65" s="129">
        <v>30</v>
      </c>
      <c r="E65" s="129">
        <f>SUM(C65:D65)+E64</f>
        <v>60</v>
      </c>
    </row>
    <row r="66" spans="1:5" ht="12.75" hidden="1" outlineLevel="1">
      <c r="A66" s="140"/>
      <c r="B66" t="s">
        <v>10</v>
      </c>
      <c r="C66" s="129"/>
      <c r="D66" s="129">
        <v>30</v>
      </c>
      <c r="E66" s="129">
        <f>SUM(C66:D66)+E65</f>
        <v>90</v>
      </c>
    </row>
    <row r="67" spans="1:5" ht="12.75" hidden="1" outlineLevel="1">
      <c r="A67" s="142">
        <v>37439</v>
      </c>
      <c r="B67" s="7" t="s">
        <v>7</v>
      </c>
      <c r="C67" s="8"/>
      <c r="D67" s="101">
        <v>30</v>
      </c>
      <c r="E67" s="129">
        <f>SUM(C67:D67)+E66</f>
        <v>120</v>
      </c>
    </row>
    <row r="68" spans="1:5" ht="12.75" hidden="1" outlineLevel="1">
      <c r="A68" s="142">
        <v>37440</v>
      </c>
      <c r="B68" s="7" t="s">
        <v>6</v>
      </c>
      <c r="C68" s="101"/>
      <c r="D68" s="101">
        <v>30</v>
      </c>
      <c r="E68" s="101">
        <f>SUM(C68:D68)+E67</f>
        <v>150</v>
      </c>
    </row>
    <row r="69" spans="1:5" ht="12.75" hidden="1" outlineLevel="1">
      <c r="A69" s="124"/>
      <c r="B69" s="7" t="s">
        <v>53</v>
      </c>
      <c r="C69" s="7"/>
      <c r="D69" s="101">
        <v>30</v>
      </c>
      <c r="E69" s="101">
        <f aca="true" t="shared" si="6" ref="E69:E79">SUM(C69:D69)+E68</f>
        <v>180</v>
      </c>
    </row>
    <row r="70" spans="1:5" ht="12.75" hidden="1" outlineLevel="1">
      <c r="A70" s="124"/>
      <c r="B70" s="7" t="s">
        <v>9</v>
      </c>
      <c r="C70" s="7"/>
      <c r="D70" s="101">
        <v>30</v>
      </c>
      <c r="E70" s="101">
        <f t="shared" si="6"/>
        <v>210</v>
      </c>
    </row>
    <row r="71" spans="1:5" ht="12.75" hidden="1" outlineLevel="1">
      <c r="A71" s="124"/>
      <c r="B71" s="7" t="s">
        <v>11</v>
      </c>
      <c r="C71" s="7"/>
      <c r="D71" s="101">
        <v>30</v>
      </c>
      <c r="E71" s="101">
        <f t="shared" si="6"/>
        <v>240</v>
      </c>
    </row>
    <row r="72" spans="1:5" ht="12.75" hidden="1" outlineLevel="1">
      <c r="A72" s="124"/>
      <c r="B72" s="7" t="s">
        <v>50</v>
      </c>
      <c r="C72" s="7"/>
      <c r="D72" s="101">
        <v>30</v>
      </c>
      <c r="E72" s="101">
        <f t="shared" si="6"/>
        <v>270</v>
      </c>
    </row>
    <row r="73" spans="1:5" ht="12.75" hidden="1" outlineLevel="1">
      <c r="A73" s="124"/>
      <c r="B73" s="7" t="s">
        <v>49</v>
      </c>
      <c r="C73" s="7"/>
      <c r="D73" s="101">
        <v>30</v>
      </c>
      <c r="E73" s="101">
        <f t="shared" si="6"/>
        <v>300</v>
      </c>
    </row>
    <row r="74" spans="1:5" ht="12.75" hidden="1" outlineLevel="1">
      <c r="A74" s="124"/>
      <c r="B74" s="7" t="s">
        <v>52</v>
      </c>
      <c r="C74" s="7"/>
      <c r="D74" s="101">
        <v>30</v>
      </c>
      <c r="E74" s="101">
        <f t="shared" si="6"/>
        <v>330</v>
      </c>
    </row>
    <row r="75" spans="1:5" ht="12.75" hidden="1" outlineLevel="1">
      <c r="A75" s="142">
        <v>37441</v>
      </c>
      <c r="B75" s="7" t="s">
        <v>56</v>
      </c>
      <c r="C75" s="7"/>
      <c r="D75" s="101">
        <v>30</v>
      </c>
      <c r="E75" s="101">
        <f t="shared" si="6"/>
        <v>360</v>
      </c>
    </row>
    <row r="76" spans="1:5" ht="12.75" hidden="1" outlineLevel="1">
      <c r="A76" s="124"/>
      <c r="B76" s="7" t="s">
        <v>8</v>
      </c>
      <c r="C76" s="7"/>
      <c r="D76" s="101">
        <v>30</v>
      </c>
      <c r="E76" s="101">
        <f t="shared" si="6"/>
        <v>390</v>
      </c>
    </row>
    <row r="77" spans="1:5" ht="12.75" hidden="1" outlineLevel="1">
      <c r="A77" s="142">
        <v>37442</v>
      </c>
      <c r="B77" s="7" t="s">
        <v>54</v>
      </c>
      <c r="C77" s="7"/>
      <c r="D77" s="101">
        <v>30</v>
      </c>
      <c r="E77" s="101">
        <f t="shared" si="6"/>
        <v>420</v>
      </c>
    </row>
    <row r="78" spans="1:5" ht="12.75" hidden="1" outlineLevel="1">
      <c r="A78" s="142">
        <v>37447</v>
      </c>
      <c r="B78" s="7" t="s">
        <v>145</v>
      </c>
      <c r="C78" s="7"/>
      <c r="D78" s="124">
        <v>0.02</v>
      </c>
      <c r="E78" s="101">
        <f t="shared" si="6"/>
        <v>420.02</v>
      </c>
    </row>
    <row r="79" spans="1:5" ht="13.5" hidden="1" outlineLevel="1" thickBot="1">
      <c r="A79" s="141">
        <v>37448</v>
      </c>
      <c r="B79" s="216" t="s">
        <v>168</v>
      </c>
      <c r="C79" s="5">
        <v>-420.03</v>
      </c>
      <c r="D79" s="131"/>
      <c r="E79" s="131">
        <f t="shared" si="6"/>
        <v>-0.009999999999990905</v>
      </c>
    </row>
    <row r="80" spans="1:5" ht="12.75" collapsed="1">
      <c r="A80" s="123" t="s">
        <v>134</v>
      </c>
      <c r="E80" s="138">
        <f>E79</f>
        <v>-0.009999999999990905</v>
      </c>
    </row>
    <row r="82" spans="1:5" ht="12.75">
      <c r="A82" s="4" t="s">
        <v>144</v>
      </c>
      <c r="B82" s="123"/>
      <c r="C82" s="129"/>
      <c r="D82" s="129"/>
      <c r="E82" s="129"/>
    </row>
    <row r="83" spans="1:5" ht="12.75" hidden="1" outlineLevel="1">
      <c r="A83" s="120" t="s">
        <v>0</v>
      </c>
      <c r="B83" s="120" t="s">
        <v>1</v>
      </c>
      <c r="C83" s="121" t="s">
        <v>132</v>
      </c>
      <c r="D83" s="121" t="s">
        <v>133</v>
      </c>
      <c r="E83" s="121" t="s">
        <v>134</v>
      </c>
    </row>
    <row r="84" spans="1:5" ht="12.75" hidden="1" outlineLevel="1">
      <c r="A84" s="46">
        <v>37468</v>
      </c>
      <c r="B84" s="7" t="s">
        <v>7</v>
      </c>
      <c r="C84" s="129"/>
      <c r="D84" s="129">
        <v>30</v>
      </c>
      <c r="E84" s="129">
        <f>SUM(C84:D84)+E80</f>
        <v>29.99000000000001</v>
      </c>
    </row>
    <row r="85" spans="1:5" ht="12.75" hidden="1" outlineLevel="1">
      <c r="A85" s="46"/>
      <c r="B85" t="s">
        <v>105</v>
      </c>
      <c r="C85" s="2"/>
      <c r="D85" s="129">
        <v>30</v>
      </c>
      <c r="E85" s="129">
        <f>SUM(B85:D85)+E84</f>
        <v>59.99000000000001</v>
      </c>
    </row>
    <row r="86" spans="1:5" ht="12.75" hidden="1" outlineLevel="1">
      <c r="A86" s="46"/>
      <c r="B86" t="s">
        <v>5</v>
      </c>
      <c r="C86" s="2"/>
      <c r="D86" s="129">
        <v>30</v>
      </c>
      <c r="E86" s="129">
        <f aca="true" t="shared" si="7" ref="E86:E101">SUM(C86:D86)+E85</f>
        <v>89.99000000000001</v>
      </c>
    </row>
    <row r="87" spans="1:5" ht="12.75" hidden="1" outlineLevel="1">
      <c r="A87" s="46"/>
      <c r="B87" t="s">
        <v>10</v>
      </c>
      <c r="C87" s="129"/>
      <c r="D87" s="101">
        <v>30</v>
      </c>
      <c r="E87" s="129">
        <f t="shared" si="7"/>
        <v>119.99000000000001</v>
      </c>
    </row>
    <row r="88" spans="1:5" ht="12.75" hidden="1" outlineLevel="1">
      <c r="A88" s="46">
        <v>37473</v>
      </c>
      <c r="B88" s="7" t="s">
        <v>6</v>
      </c>
      <c r="C88" s="129"/>
      <c r="D88" s="101">
        <v>30</v>
      </c>
      <c r="E88" s="101">
        <f t="shared" si="7"/>
        <v>149.99</v>
      </c>
    </row>
    <row r="89" spans="1:5" ht="12.75" hidden="1" outlineLevel="1">
      <c r="A89" s="46"/>
      <c r="B89" s="7" t="s">
        <v>53</v>
      </c>
      <c r="C89" s="129"/>
      <c r="D89" s="101">
        <v>30</v>
      </c>
      <c r="E89" s="101">
        <f t="shared" si="7"/>
        <v>179.99</v>
      </c>
    </row>
    <row r="90" spans="1:5" ht="12.75" hidden="1" outlineLevel="1">
      <c r="A90" s="46"/>
      <c r="B90" s="7" t="s">
        <v>9</v>
      </c>
      <c r="C90" s="129"/>
      <c r="D90" s="101">
        <v>30</v>
      </c>
      <c r="E90" s="101">
        <f t="shared" si="7"/>
        <v>209.99</v>
      </c>
    </row>
    <row r="91" spans="1:5" ht="12.75" hidden="1" outlineLevel="1">
      <c r="A91" s="139"/>
      <c r="B91" s="7" t="s">
        <v>11</v>
      </c>
      <c r="C91" s="101"/>
      <c r="D91" s="101">
        <v>30</v>
      </c>
      <c r="E91" s="101">
        <f t="shared" si="7"/>
        <v>239.99</v>
      </c>
    </row>
    <row r="92" spans="1:5" ht="12.75" hidden="1" outlineLevel="1">
      <c r="A92" s="4"/>
      <c r="B92" s="7" t="s">
        <v>50</v>
      </c>
      <c r="C92" s="101"/>
      <c r="D92" s="101">
        <v>30</v>
      </c>
      <c r="E92" s="101">
        <f t="shared" si="7"/>
        <v>269.99</v>
      </c>
    </row>
    <row r="93" spans="1:5" ht="12.75" hidden="1" outlineLevel="1">
      <c r="A93" s="4"/>
      <c r="B93" s="7" t="s">
        <v>56</v>
      </c>
      <c r="C93" s="129"/>
      <c r="D93" s="101">
        <v>30</v>
      </c>
      <c r="E93" s="101">
        <f t="shared" si="7"/>
        <v>299.99</v>
      </c>
    </row>
    <row r="94" spans="2:5" ht="12.75" hidden="1" outlineLevel="1">
      <c r="B94" s="7" t="s">
        <v>49</v>
      </c>
      <c r="C94" s="2"/>
      <c r="D94" s="101">
        <v>30</v>
      </c>
      <c r="E94" s="101">
        <f t="shared" si="7"/>
        <v>329.99</v>
      </c>
    </row>
    <row r="95" spans="1:5" ht="12.75" hidden="1" outlineLevel="1">
      <c r="A95" s="46">
        <v>37474</v>
      </c>
      <c r="B95" s="7" t="s">
        <v>52</v>
      </c>
      <c r="C95" s="2"/>
      <c r="D95" s="101">
        <v>30</v>
      </c>
      <c r="E95" s="101">
        <f t="shared" si="7"/>
        <v>359.99</v>
      </c>
    </row>
    <row r="96" spans="2:5" ht="12.75" hidden="1" outlineLevel="1">
      <c r="B96" s="7" t="s">
        <v>8</v>
      </c>
      <c r="C96" s="2"/>
      <c r="D96" s="101">
        <v>30</v>
      </c>
      <c r="E96" s="101">
        <f t="shared" si="7"/>
        <v>389.99</v>
      </c>
    </row>
    <row r="97" spans="1:5" ht="12.75" hidden="1" outlineLevel="1">
      <c r="A97" s="46">
        <v>37475</v>
      </c>
      <c r="B97" s="7" t="s">
        <v>54</v>
      </c>
      <c r="C97" s="2"/>
      <c r="D97" s="101">
        <v>30</v>
      </c>
      <c r="E97" s="101">
        <f t="shared" si="7"/>
        <v>419.99</v>
      </c>
    </row>
    <row r="98" spans="1:5" ht="12.75" hidden="1" outlineLevel="1">
      <c r="A98" s="139">
        <v>37480</v>
      </c>
      <c r="B98" s="7" t="s">
        <v>145</v>
      </c>
      <c r="C98" s="8"/>
      <c r="D98" s="101">
        <v>0.01</v>
      </c>
      <c r="E98" s="101">
        <f t="shared" si="7"/>
        <v>420</v>
      </c>
    </row>
    <row r="99" spans="1:5" ht="12.75" hidden="1" outlineLevel="1">
      <c r="A99" s="139">
        <v>37483</v>
      </c>
      <c r="B99" s="71" t="s">
        <v>168</v>
      </c>
      <c r="C99" s="101">
        <v>-420</v>
      </c>
      <c r="D99" s="101"/>
      <c r="E99" s="101">
        <f t="shared" si="7"/>
        <v>0</v>
      </c>
    </row>
    <row r="100" spans="1:5" ht="12.75" hidden="1" outlineLevel="1">
      <c r="A100" s="139">
        <v>37484</v>
      </c>
      <c r="B100" s="7" t="s">
        <v>183</v>
      </c>
      <c r="C100" s="8"/>
      <c r="D100" s="101">
        <v>69.1</v>
      </c>
      <c r="E100" s="101">
        <f t="shared" si="7"/>
        <v>69.1</v>
      </c>
    </row>
    <row r="101" spans="1:5" ht="13.5" hidden="1" outlineLevel="1" thickBot="1">
      <c r="A101" s="132">
        <v>37495</v>
      </c>
      <c r="B101" s="216" t="s">
        <v>168</v>
      </c>
      <c r="C101" s="131">
        <v>-69.1</v>
      </c>
      <c r="D101" s="131"/>
      <c r="E101" s="131">
        <f t="shared" si="7"/>
        <v>0</v>
      </c>
    </row>
    <row r="102" spans="1:5" ht="12.75" collapsed="1">
      <c r="A102" s="123" t="s">
        <v>134</v>
      </c>
      <c r="E102" s="138">
        <f>E101</f>
        <v>0</v>
      </c>
    </row>
    <row r="104" spans="1:5" ht="12.75">
      <c r="A104" s="4" t="s">
        <v>148</v>
      </c>
      <c r="B104" s="123"/>
      <c r="C104" s="129"/>
      <c r="D104" s="129"/>
      <c r="E104" s="129"/>
    </row>
    <row r="105" spans="1:5" ht="12.75" hidden="1" outlineLevel="1">
      <c r="A105" s="120" t="s">
        <v>0</v>
      </c>
      <c r="B105" s="120" t="s">
        <v>1</v>
      </c>
      <c r="C105" s="121" t="s">
        <v>132</v>
      </c>
      <c r="D105" s="121" t="s">
        <v>133</v>
      </c>
      <c r="E105" s="121" t="s">
        <v>134</v>
      </c>
    </row>
    <row r="106" spans="1:5" ht="12.75" hidden="1" outlineLevel="1">
      <c r="A106" s="46">
        <v>37498</v>
      </c>
      <c r="B106" s="7" t="s">
        <v>7</v>
      </c>
      <c r="C106" s="121"/>
      <c r="D106" s="129">
        <v>30</v>
      </c>
      <c r="E106" s="129">
        <f>SUM(C106:D106)+E101</f>
        <v>30</v>
      </c>
    </row>
    <row r="107" spans="1:5" ht="12.75" hidden="1" outlineLevel="1">
      <c r="A107" s="46">
        <v>37501</v>
      </c>
      <c r="B107" t="s">
        <v>105</v>
      </c>
      <c r="C107" s="129"/>
      <c r="D107" s="129">
        <v>30</v>
      </c>
      <c r="E107" s="129">
        <f aca="true" t="shared" si="8" ref="E107:E120">SUM(C107:D107)+E106</f>
        <v>60</v>
      </c>
    </row>
    <row r="108" spans="1:5" ht="12.75" hidden="1" outlineLevel="1">
      <c r="A108" s="46"/>
      <c r="B108" t="s">
        <v>5</v>
      </c>
      <c r="C108" s="129"/>
      <c r="D108" s="129">
        <v>30</v>
      </c>
      <c r="E108" s="129">
        <f t="shared" si="8"/>
        <v>90</v>
      </c>
    </row>
    <row r="109" spans="1:5" ht="12.75" hidden="1" outlineLevel="1">
      <c r="A109" s="46"/>
      <c r="B109" t="s">
        <v>10</v>
      </c>
      <c r="C109" s="129"/>
      <c r="D109" s="129">
        <v>30</v>
      </c>
      <c r="E109" s="129">
        <f t="shared" si="8"/>
        <v>120</v>
      </c>
    </row>
    <row r="110" spans="1:5" ht="12.75" hidden="1" outlineLevel="1">
      <c r="A110" s="46">
        <v>37503</v>
      </c>
      <c r="B110" s="7" t="s">
        <v>6</v>
      </c>
      <c r="C110" s="129"/>
      <c r="D110" s="101">
        <v>30</v>
      </c>
      <c r="E110" s="129">
        <f t="shared" si="8"/>
        <v>150</v>
      </c>
    </row>
    <row r="111" spans="1:5" ht="12.75" hidden="1" outlineLevel="1">
      <c r="A111" s="46"/>
      <c r="B111" s="7" t="s">
        <v>53</v>
      </c>
      <c r="C111" s="129"/>
      <c r="D111" s="101">
        <v>30</v>
      </c>
      <c r="E111" s="101">
        <f t="shared" si="8"/>
        <v>180</v>
      </c>
    </row>
    <row r="112" spans="1:5" ht="12.75" hidden="1" outlineLevel="1">
      <c r="A112" s="46"/>
      <c r="B112" s="7" t="s">
        <v>9</v>
      </c>
      <c r="C112" s="129"/>
      <c r="D112" s="101">
        <v>30</v>
      </c>
      <c r="E112" s="101">
        <f t="shared" si="8"/>
        <v>210</v>
      </c>
    </row>
    <row r="113" spans="1:5" ht="12.75" hidden="1" outlineLevel="1">
      <c r="A113" s="46"/>
      <c r="B113" s="7" t="s">
        <v>11</v>
      </c>
      <c r="C113" s="101"/>
      <c r="D113" s="101">
        <v>30</v>
      </c>
      <c r="E113" s="101">
        <f t="shared" si="8"/>
        <v>240</v>
      </c>
    </row>
    <row r="114" spans="1:5" ht="12.75" hidden="1" outlineLevel="1">
      <c r="A114" s="139"/>
      <c r="B114" s="7" t="s">
        <v>50</v>
      </c>
      <c r="D114" s="101">
        <v>30</v>
      </c>
      <c r="E114" s="101">
        <f t="shared" si="8"/>
        <v>270</v>
      </c>
    </row>
    <row r="115" spans="1:5" ht="12.75" hidden="1" outlineLevel="1">
      <c r="A115" s="4"/>
      <c r="B115" s="7" t="s">
        <v>56</v>
      </c>
      <c r="D115" s="101">
        <v>30</v>
      </c>
      <c r="E115" s="101">
        <f t="shared" si="8"/>
        <v>300</v>
      </c>
    </row>
    <row r="116" spans="1:5" ht="12.75" hidden="1" outlineLevel="1">
      <c r="A116" s="4"/>
      <c r="B116" s="7" t="s">
        <v>49</v>
      </c>
      <c r="D116" s="101">
        <v>30</v>
      </c>
      <c r="E116" s="101">
        <f t="shared" si="8"/>
        <v>330</v>
      </c>
    </row>
    <row r="117" spans="2:5" ht="12.75" hidden="1" outlineLevel="1">
      <c r="B117" s="7" t="s">
        <v>52</v>
      </c>
      <c r="D117" s="101">
        <v>30</v>
      </c>
      <c r="E117" s="101">
        <f t="shared" si="8"/>
        <v>360</v>
      </c>
    </row>
    <row r="118" spans="1:5" ht="12.75" hidden="1" outlineLevel="1">
      <c r="A118" s="46">
        <v>37504</v>
      </c>
      <c r="B118" s="7" t="s">
        <v>54</v>
      </c>
      <c r="D118" s="101">
        <v>30</v>
      </c>
      <c r="E118" s="101">
        <f t="shared" si="8"/>
        <v>390</v>
      </c>
    </row>
    <row r="119" spans="1:5" ht="12.75" hidden="1" outlineLevel="1">
      <c r="A119" s="46"/>
      <c r="B119" s="7" t="s">
        <v>8</v>
      </c>
      <c r="D119" s="101">
        <v>30</v>
      </c>
      <c r="E119" s="101">
        <f t="shared" si="8"/>
        <v>420</v>
      </c>
    </row>
    <row r="120" spans="1:5" ht="12.75" hidden="1" outlineLevel="1">
      <c r="A120" s="46">
        <v>37509</v>
      </c>
      <c r="B120" s="7" t="s">
        <v>145</v>
      </c>
      <c r="D120" s="101">
        <v>0.02</v>
      </c>
      <c r="E120" s="101">
        <f t="shared" si="8"/>
        <v>420.02</v>
      </c>
    </row>
    <row r="121" spans="1:5" ht="13.5" hidden="1" outlineLevel="1" thickBot="1">
      <c r="A121" s="132">
        <v>37522</v>
      </c>
      <c r="B121" s="5" t="s">
        <v>234</v>
      </c>
      <c r="C121" s="5"/>
      <c r="D121" s="131">
        <v>50</v>
      </c>
      <c r="E121" s="131">
        <f>SUM(C121:D121)+E120</f>
        <v>470.02</v>
      </c>
    </row>
    <row r="122" spans="1:5" ht="12.75" collapsed="1">
      <c r="A122" s="123" t="s">
        <v>134</v>
      </c>
      <c r="E122" s="138">
        <f>E121</f>
        <v>470.02</v>
      </c>
    </row>
    <row r="123" ht="12.75">
      <c r="A123" s="7"/>
    </row>
    <row r="124" spans="1:5" ht="12.75">
      <c r="A124" s="4" t="s">
        <v>154</v>
      </c>
      <c r="B124" s="123"/>
      <c r="C124" s="129"/>
      <c r="D124" s="129"/>
      <c r="E124" s="129"/>
    </row>
    <row r="125" spans="1:5" ht="12.75" hidden="1" outlineLevel="1">
      <c r="A125" s="120" t="s">
        <v>0</v>
      </c>
      <c r="B125" s="120" t="s">
        <v>1</v>
      </c>
      <c r="C125" s="121" t="s">
        <v>132</v>
      </c>
      <c r="D125" s="121" t="s">
        <v>133</v>
      </c>
      <c r="E125" s="121" t="s">
        <v>134</v>
      </c>
    </row>
    <row r="126" spans="1:5" ht="12.75" hidden="1" outlineLevel="1">
      <c r="A126" s="139">
        <v>37530</v>
      </c>
      <c r="B126" t="s">
        <v>5</v>
      </c>
      <c r="C126" s="129"/>
      <c r="D126" s="129">
        <v>30</v>
      </c>
      <c r="E126" s="101">
        <f>SUM(C126:D126)+E122</f>
        <v>500.02</v>
      </c>
    </row>
    <row r="127" spans="1:5" ht="12.75" hidden="1" outlineLevel="1">
      <c r="A127" s="120"/>
      <c r="B127" t="s">
        <v>10</v>
      </c>
      <c r="C127" s="129"/>
      <c r="D127" s="129">
        <v>30</v>
      </c>
      <c r="E127" s="101">
        <f aca="true" t="shared" si="9" ref="E127:E143">SUM(C127:D127)+E126</f>
        <v>530.02</v>
      </c>
    </row>
    <row r="128" spans="2:5" ht="12.75" hidden="1" outlineLevel="1">
      <c r="B128" s="7" t="s">
        <v>146</v>
      </c>
      <c r="C128" s="124">
        <v>-453.58</v>
      </c>
      <c r="D128" s="129"/>
      <c r="E128" s="101">
        <f t="shared" si="9"/>
        <v>76.44</v>
      </c>
    </row>
    <row r="129" spans="1:5" ht="12.75" hidden="1" outlineLevel="1">
      <c r="A129" s="160">
        <v>37531</v>
      </c>
      <c r="B129" s="7" t="s">
        <v>7</v>
      </c>
      <c r="C129" s="129"/>
      <c r="D129" s="129">
        <v>30</v>
      </c>
      <c r="E129" s="129">
        <f t="shared" si="9"/>
        <v>106.44</v>
      </c>
    </row>
    <row r="130" spans="1:5" ht="12.75" hidden="1" outlineLevel="1">
      <c r="A130" s="160">
        <v>37532</v>
      </c>
      <c r="B130" s="7" t="s">
        <v>6</v>
      </c>
      <c r="C130" s="129"/>
      <c r="D130" s="101">
        <v>30</v>
      </c>
      <c r="E130" s="129">
        <f t="shared" si="9"/>
        <v>136.44</v>
      </c>
    </row>
    <row r="131" spans="2:5" ht="12.75" hidden="1" outlineLevel="1">
      <c r="B131" s="7" t="s">
        <v>53</v>
      </c>
      <c r="C131" s="129"/>
      <c r="D131" s="101">
        <v>30</v>
      </c>
      <c r="E131" s="129">
        <f t="shared" si="9"/>
        <v>166.44</v>
      </c>
    </row>
    <row r="132" spans="1:5" ht="12.75" hidden="1" outlineLevel="1">
      <c r="A132" s="160"/>
      <c r="B132" s="7" t="s">
        <v>9</v>
      </c>
      <c r="C132" s="129"/>
      <c r="D132" s="101">
        <v>30</v>
      </c>
      <c r="E132" s="101">
        <f t="shared" si="9"/>
        <v>196.44</v>
      </c>
    </row>
    <row r="133" spans="1:5" ht="12.75" hidden="1" outlineLevel="1">
      <c r="A133" s="160"/>
      <c r="B133" s="7" t="s">
        <v>11</v>
      </c>
      <c r="C133" s="129"/>
      <c r="D133" s="101">
        <v>30</v>
      </c>
      <c r="E133" s="101">
        <f t="shared" si="9"/>
        <v>226.44</v>
      </c>
    </row>
    <row r="134" spans="1:5" ht="12.75" hidden="1" outlineLevel="1">
      <c r="A134" s="160"/>
      <c r="B134" s="7" t="s">
        <v>50</v>
      </c>
      <c r="D134" s="101">
        <v>30</v>
      </c>
      <c r="E134" s="101">
        <f t="shared" si="9"/>
        <v>256.44</v>
      </c>
    </row>
    <row r="135" spans="1:5" ht="12.75" hidden="1" outlineLevel="1">
      <c r="A135" s="160"/>
      <c r="B135" s="7" t="s">
        <v>56</v>
      </c>
      <c r="D135" s="101">
        <v>30</v>
      </c>
      <c r="E135" s="101">
        <f t="shared" si="9"/>
        <v>286.44</v>
      </c>
    </row>
    <row r="136" spans="2:5" ht="12.75" hidden="1" outlineLevel="1">
      <c r="B136" s="7" t="s">
        <v>49</v>
      </c>
      <c r="D136" s="101">
        <v>30</v>
      </c>
      <c r="E136" s="101">
        <f t="shared" si="9"/>
        <v>316.44</v>
      </c>
    </row>
    <row r="137" spans="1:5" ht="12.75" hidden="1" outlineLevel="1">
      <c r="A137" s="160"/>
      <c r="B137" s="7" t="s">
        <v>52</v>
      </c>
      <c r="D137" s="101">
        <v>30</v>
      </c>
      <c r="E137" s="101">
        <f t="shared" si="9"/>
        <v>346.44</v>
      </c>
    </row>
    <row r="138" spans="1:5" ht="12.75" hidden="1" outlineLevel="1">
      <c r="A138" s="160">
        <v>37533</v>
      </c>
      <c r="B138" s="7" t="s">
        <v>8</v>
      </c>
      <c r="D138" s="101">
        <v>30</v>
      </c>
      <c r="E138" s="101">
        <f t="shared" si="9"/>
        <v>376.44</v>
      </c>
    </row>
    <row r="139" spans="1:5" ht="12.75" hidden="1" outlineLevel="1">
      <c r="A139" s="160">
        <v>37536</v>
      </c>
      <c r="B139" s="7" t="s">
        <v>54</v>
      </c>
      <c r="C139" s="129"/>
      <c r="D139" s="101">
        <v>30</v>
      </c>
      <c r="E139" s="101">
        <f t="shared" si="9"/>
        <v>406.44</v>
      </c>
    </row>
    <row r="140" spans="1:5" ht="12.75" hidden="1" outlineLevel="1">
      <c r="A140" s="160">
        <v>37538</v>
      </c>
      <c r="B140" s="7" t="s">
        <v>234</v>
      </c>
      <c r="D140" s="101">
        <v>200</v>
      </c>
      <c r="E140" s="101">
        <f t="shared" si="9"/>
        <v>606.44</v>
      </c>
    </row>
    <row r="141" spans="1:5" ht="12.75" hidden="1" outlineLevel="1">
      <c r="A141" s="160">
        <v>37539</v>
      </c>
      <c r="B141" s="7" t="s">
        <v>245</v>
      </c>
      <c r="C141" s="129"/>
      <c r="D141" s="101">
        <v>45.39</v>
      </c>
      <c r="E141" s="101">
        <f t="shared" si="9"/>
        <v>651.83</v>
      </c>
    </row>
    <row r="142" spans="2:5" ht="12.75" hidden="1" outlineLevel="1">
      <c r="B142" s="7" t="s">
        <v>145</v>
      </c>
      <c r="C142" s="7"/>
      <c r="D142" s="101">
        <v>0.03</v>
      </c>
      <c r="E142" s="101">
        <f t="shared" si="9"/>
        <v>651.86</v>
      </c>
    </row>
    <row r="143" spans="1:5" ht="13.5" hidden="1" outlineLevel="1" thickBot="1">
      <c r="A143" s="161">
        <v>37546</v>
      </c>
      <c r="B143" s="5" t="s">
        <v>183</v>
      </c>
      <c r="C143" s="130"/>
      <c r="D143" s="131">
        <v>15.4</v>
      </c>
      <c r="E143" s="131">
        <f t="shared" si="9"/>
        <v>667.26</v>
      </c>
    </row>
    <row r="144" spans="1:5" ht="12.75" collapsed="1">
      <c r="A144" s="123" t="s">
        <v>134</v>
      </c>
      <c r="E144" s="138">
        <f>E143</f>
        <v>667.26</v>
      </c>
    </row>
    <row r="145" spans="1:5" ht="12.75">
      <c r="A145" s="123"/>
      <c r="E145" s="138"/>
    </row>
    <row r="146" spans="1:5" ht="12.75">
      <c r="A146" s="4" t="s">
        <v>163</v>
      </c>
      <c r="B146" s="123"/>
      <c r="C146" s="129"/>
      <c r="D146" s="129"/>
      <c r="E146" s="129"/>
    </row>
    <row r="147" spans="1:5" ht="12.75" hidden="1" outlineLevel="1">
      <c r="A147" s="120" t="s">
        <v>0</v>
      </c>
      <c r="B147" s="120" t="s">
        <v>1</v>
      </c>
      <c r="C147" s="121" t="s">
        <v>132</v>
      </c>
      <c r="D147" s="121" t="s">
        <v>133</v>
      </c>
      <c r="E147" s="121" t="s">
        <v>134</v>
      </c>
    </row>
    <row r="148" spans="1:5" ht="12.75" hidden="1" outlineLevel="1">
      <c r="A148" s="247">
        <v>37560</v>
      </c>
      <c r="B148" s="71" t="s">
        <v>7</v>
      </c>
      <c r="C148" s="134"/>
      <c r="D148" s="134">
        <v>30</v>
      </c>
      <c r="E148" s="134">
        <f>SUM(C148:D148)+E144</f>
        <v>697.26</v>
      </c>
    </row>
    <row r="149" spans="1:5" ht="12.75" hidden="1" outlineLevel="1">
      <c r="A149" s="247">
        <v>37561</v>
      </c>
      <c r="B149" s="85" t="s">
        <v>5</v>
      </c>
      <c r="C149" s="134"/>
      <c r="D149" s="134">
        <v>30</v>
      </c>
      <c r="E149" s="134">
        <f aca="true" t="shared" si="10" ref="E149:E161">SUM(C149:D149)+E148</f>
        <v>727.26</v>
      </c>
    </row>
    <row r="150" spans="1:5" ht="12.75" hidden="1" outlineLevel="1">
      <c r="A150" s="247"/>
      <c r="B150" s="85" t="s">
        <v>10</v>
      </c>
      <c r="C150" s="134"/>
      <c r="D150" s="134">
        <v>30</v>
      </c>
      <c r="E150" s="134">
        <f t="shared" si="10"/>
        <v>757.26</v>
      </c>
    </row>
    <row r="151" spans="1:5" ht="12.75" hidden="1" outlineLevel="1">
      <c r="A151" s="247">
        <v>37565</v>
      </c>
      <c r="B151" s="71" t="s">
        <v>49</v>
      </c>
      <c r="C151" s="134"/>
      <c r="D151" s="134">
        <v>30</v>
      </c>
      <c r="E151" s="134">
        <f t="shared" si="10"/>
        <v>787.26</v>
      </c>
    </row>
    <row r="152" spans="2:5" ht="12.75" hidden="1" outlineLevel="1">
      <c r="B152" s="71" t="s">
        <v>6</v>
      </c>
      <c r="C152" s="134"/>
      <c r="D152" s="98">
        <v>30</v>
      </c>
      <c r="E152" s="134">
        <f t="shared" si="10"/>
        <v>817.26</v>
      </c>
    </row>
    <row r="153" spans="1:5" ht="12.75" hidden="1" outlineLevel="1">
      <c r="A153" s="247"/>
      <c r="B153" s="71" t="s">
        <v>53</v>
      </c>
      <c r="C153" s="134"/>
      <c r="D153" s="98">
        <v>30</v>
      </c>
      <c r="E153" s="98">
        <f t="shared" si="10"/>
        <v>847.26</v>
      </c>
    </row>
    <row r="154" spans="1:5" ht="12.75" hidden="1" outlineLevel="1">
      <c r="A154" s="247"/>
      <c r="B154" s="71" t="s">
        <v>9</v>
      </c>
      <c r="C154" s="134"/>
      <c r="D154" s="98">
        <v>30</v>
      </c>
      <c r="E154" s="98">
        <f t="shared" si="10"/>
        <v>877.26</v>
      </c>
    </row>
    <row r="155" spans="1:5" ht="12.75" hidden="1" outlineLevel="1">
      <c r="A155" s="247"/>
      <c r="B155" s="71" t="s">
        <v>11</v>
      </c>
      <c r="C155" s="98"/>
      <c r="D155" s="98">
        <v>30</v>
      </c>
      <c r="E155" s="98">
        <f t="shared" si="10"/>
        <v>907.26</v>
      </c>
    </row>
    <row r="156" spans="1:5" ht="12.75" hidden="1" outlineLevel="1">
      <c r="A156" s="247"/>
      <c r="B156" s="7" t="s">
        <v>50</v>
      </c>
      <c r="C156" s="85"/>
      <c r="D156" s="98">
        <v>30</v>
      </c>
      <c r="E156" s="98">
        <f t="shared" si="10"/>
        <v>937.26</v>
      </c>
    </row>
    <row r="157" spans="1:5" ht="12.75" hidden="1" outlineLevel="1">
      <c r="A157" s="247"/>
      <c r="B157" s="71" t="s">
        <v>56</v>
      </c>
      <c r="C157" s="85"/>
      <c r="D157" s="98">
        <v>30</v>
      </c>
      <c r="E157" s="98">
        <f t="shared" si="10"/>
        <v>967.26</v>
      </c>
    </row>
    <row r="158" spans="2:5" ht="12.75" hidden="1" outlineLevel="1">
      <c r="B158" s="71" t="s">
        <v>52</v>
      </c>
      <c r="C158" s="71"/>
      <c r="D158" s="98">
        <v>30</v>
      </c>
      <c r="E158" s="98">
        <f>SUM(C158:D158)+E157</f>
        <v>997.26</v>
      </c>
    </row>
    <row r="159" spans="1:5" ht="12.75" hidden="1" outlineLevel="1">
      <c r="A159" s="247">
        <v>37566</v>
      </c>
      <c r="B159" s="71" t="s">
        <v>8</v>
      </c>
      <c r="C159" s="85"/>
      <c r="D159" s="98">
        <v>30</v>
      </c>
      <c r="E159" s="98">
        <f t="shared" si="10"/>
        <v>1027.26</v>
      </c>
    </row>
    <row r="160" spans="1:5" ht="12.75" hidden="1" outlineLevel="1">
      <c r="A160" s="247"/>
      <c r="B160" s="71" t="s">
        <v>54</v>
      </c>
      <c r="D160" s="98">
        <v>30</v>
      </c>
      <c r="E160" s="98">
        <f>SUM(C160:D160)+E159</f>
        <v>1057.26</v>
      </c>
    </row>
    <row r="161" spans="1:5" ht="12.75" hidden="1" outlineLevel="1">
      <c r="A161" s="247">
        <v>37571</v>
      </c>
      <c r="B161" s="71" t="s">
        <v>145</v>
      </c>
      <c r="C161" s="85"/>
      <c r="D161" s="98">
        <v>0.05</v>
      </c>
      <c r="E161" s="98">
        <f t="shared" si="10"/>
        <v>1057.31</v>
      </c>
    </row>
    <row r="162" spans="1:5" ht="13.5" hidden="1" outlineLevel="1" thickBot="1">
      <c r="A162" s="248">
        <v>37589</v>
      </c>
      <c r="B162" s="5" t="s">
        <v>168</v>
      </c>
      <c r="C162" s="216">
        <v>-395.12</v>
      </c>
      <c r="D162" s="165"/>
      <c r="E162" s="165">
        <f>SUM(C162:D162)+E161</f>
        <v>662.1899999999999</v>
      </c>
    </row>
    <row r="163" spans="1:5" ht="12.75" collapsed="1">
      <c r="A163" s="201" t="s">
        <v>134</v>
      </c>
      <c r="B163" s="85"/>
      <c r="C163" s="85"/>
      <c r="D163" s="85"/>
      <c r="E163" s="202">
        <f>E162</f>
        <v>662.1899999999999</v>
      </c>
    </row>
    <row r="164" spans="2:3" ht="12.75">
      <c r="B164" s="7"/>
      <c r="C164" s="124"/>
    </row>
    <row r="165" spans="1:5" s="85" customFormat="1" ht="12.75">
      <c r="A165" s="4" t="s">
        <v>167</v>
      </c>
      <c r="B165" s="123"/>
      <c r="C165" s="129"/>
      <c r="D165" s="129"/>
      <c r="E165" s="129"/>
    </row>
    <row r="166" spans="1:5" ht="12.75" hidden="1" outlineLevel="1">
      <c r="A166" s="120" t="s">
        <v>0</v>
      </c>
      <c r="B166" s="120" t="s">
        <v>1</v>
      </c>
      <c r="C166" s="121" t="s">
        <v>132</v>
      </c>
      <c r="D166" s="121" t="s">
        <v>133</v>
      </c>
      <c r="E166" s="121" t="s">
        <v>134</v>
      </c>
    </row>
    <row r="167" spans="1:5" ht="12.75" hidden="1" outlineLevel="1">
      <c r="A167" s="46">
        <v>37592</v>
      </c>
      <c r="B167" t="s">
        <v>5</v>
      </c>
      <c r="C167" s="134"/>
      <c r="D167" s="134">
        <v>30</v>
      </c>
      <c r="E167" s="134">
        <f>SUM(C167:D167)+E163</f>
        <v>692.1899999999999</v>
      </c>
    </row>
    <row r="168" spans="1:5" ht="12.75" hidden="1" outlineLevel="1">
      <c r="A168" s="46"/>
      <c r="B168" t="s">
        <v>10</v>
      </c>
      <c r="C168" s="134"/>
      <c r="D168" s="134">
        <v>30</v>
      </c>
      <c r="E168" s="134">
        <f>SUM(C168:D168)+E167</f>
        <v>722.1899999999999</v>
      </c>
    </row>
    <row r="169" spans="2:5" ht="12.75" hidden="1" outlineLevel="1">
      <c r="B169" t="s">
        <v>7</v>
      </c>
      <c r="C169" s="134"/>
      <c r="D169" s="134">
        <v>30</v>
      </c>
      <c r="E169" s="134">
        <f aca="true" t="shared" si="11" ref="E169:E176">SUM(C169:D169)+E168</f>
        <v>752.1899999999999</v>
      </c>
    </row>
    <row r="170" spans="1:5" ht="12.75" hidden="1" outlineLevel="1">
      <c r="A170" s="46">
        <v>37594</v>
      </c>
      <c r="B170" t="s">
        <v>49</v>
      </c>
      <c r="C170" s="134"/>
      <c r="D170" s="134">
        <v>30</v>
      </c>
      <c r="E170" s="134">
        <f t="shared" si="11"/>
        <v>782.1899999999999</v>
      </c>
    </row>
    <row r="171" spans="2:5" ht="12.75" hidden="1" outlineLevel="1">
      <c r="B171" t="s">
        <v>6</v>
      </c>
      <c r="C171" s="134"/>
      <c r="D171" s="98">
        <v>30</v>
      </c>
      <c r="E171" s="134">
        <f t="shared" si="11"/>
        <v>812.1899999999999</v>
      </c>
    </row>
    <row r="172" spans="1:5" ht="12.75" hidden="1" outlineLevel="1">
      <c r="A172" s="46"/>
      <c r="B172" t="s">
        <v>9</v>
      </c>
      <c r="C172" s="134"/>
      <c r="D172" s="98">
        <v>30</v>
      </c>
      <c r="E172" s="98">
        <f t="shared" si="11"/>
        <v>842.1899999999999</v>
      </c>
    </row>
    <row r="173" spans="2:5" ht="12.75" hidden="1" outlineLevel="1">
      <c r="B173" t="s">
        <v>11</v>
      </c>
      <c r="C173" s="134"/>
      <c r="D173" s="98">
        <v>30</v>
      </c>
      <c r="E173" s="98">
        <f t="shared" si="11"/>
        <v>872.1899999999999</v>
      </c>
    </row>
    <row r="174" spans="2:5" ht="12.75" hidden="1" outlineLevel="1">
      <c r="B174" t="s">
        <v>50</v>
      </c>
      <c r="C174" s="98"/>
      <c r="D174" s="98">
        <v>30</v>
      </c>
      <c r="E174" s="98">
        <f t="shared" si="11"/>
        <v>902.1899999999999</v>
      </c>
    </row>
    <row r="175" spans="2:5" ht="12.75" hidden="1" outlineLevel="1">
      <c r="B175" t="s">
        <v>56</v>
      </c>
      <c r="C175" s="85"/>
      <c r="D175" s="98">
        <v>30</v>
      </c>
      <c r="E175" s="98">
        <f t="shared" si="11"/>
        <v>932.1899999999999</v>
      </c>
    </row>
    <row r="176" spans="1:5" ht="12.75" hidden="1" outlineLevel="1">
      <c r="A176" s="46"/>
      <c r="B176" t="s">
        <v>52</v>
      </c>
      <c r="C176" s="85"/>
      <c r="D176" s="98">
        <v>30</v>
      </c>
      <c r="E176" s="98">
        <f t="shared" si="11"/>
        <v>962.1899999999999</v>
      </c>
    </row>
    <row r="177" spans="1:5" ht="12.75" hidden="1" outlineLevel="1">
      <c r="A177" s="46">
        <v>37595</v>
      </c>
      <c r="B177" t="s">
        <v>54</v>
      </c>
      <c r="C177" s="85"/>
      <c r="D177" s="98">
        <v>30</v>
      </c>
      <c r="E177" s="98">
        <f aca="true" t="shared" si="12" ref="E177:E183">SUM(C177:D177)+E176</f>
        <v>992.1899999999999</v>
      </c>
    </row>
    <row r="178" spans="2:5" ht="12.75" hidden="1" outlineLevel="1">
      <c r="B178" t="s">
        <v>8</v>
      </c>
      <c r="C178" s="85"/>
      <c r="D178" s="98">
        <v>30</v>
      </c>
      <c r="E178" s="98">
        <f t="shared" si="12"/>
        <v>1022.1899999999999</v>
      </c>
    </row>
    <row r="179" spans="1:5" ht="12.75" hidden="1" outlineLevel="1">
      <c r="A179" s="159">
        <v>37596</v>
      </c>
      <c r="B179" s="71" t="s">
        <v>187</v>
      </c>
      <c r="C179" s="91"/>
      <c r="D179" s="98">
        <v>4053.02</v>
      </c>
      <c r="E179" s="98">
        <f t="shared" si="12"/>
        <v>5075.21</v>
      </c>
    </row>
    <row r="180" spans="1:5" ht="12.75" hidden="1" outlineLevel="1">
      <c r="A180" s="159">
        <v>37599</v>
      </c>
      <c r="B180" s="71" t="s">
        <v>164</v>
      </c>
      <c r="C180" s="91"/>
      <c r="D180" s="98">
        <v>11.24</v>
      </c>
      <c r="E180" s="98">
        <f t="shared" si="12"/>
        <v>5086.45</v>
      </c>
    </row>
    <row r="181" spans="1:5" ht="12.75" hidden="1" outlineLevel="1">
      <c r="A181" s="159">
        <v>37600</v>
      </c>
      <c r="B181" s="71" t="s">
        <v>145</v>
      </c>
      <c r="C181" s="71"/>
      <c r="D181" s="98">
        <v>0.1</v>
      </c>
      <c r="E181" s="98">
        <f t="shared" si="12"/>
        <v>5086.55</v>
      </c>
    </row>
    <row r="182" spans="1:5" ht="12.75" hidden="1" outlineLevel="1">
      <c r="A182" s="159">
        <v>37601</v>
      </c>
      <c r="B182" s="7" t="s">
        <v>262</v>
      </c>
      <c r="C182" s="98">
        <v>-285</v>
      </c>
      <c r="D182" s="98"/>
      <c r="E182" s="98">
        <f t="shared" si="12"/>
        <v>4801.55</v>
      </c>
    </row>
    <row r="183" spans="1:5" ht="13.5" hidden="1" outlineLevel="1" thickBot="1">
      <c r="A183" s="161">
        <v>37606</v>
      </c>
      <c r="B183" s="5" t="s">
        <v>263</v>
      </c>
      <c r="C183" s="162">
        <v>-642.19</v>
      </c>
      <c r="D183" s="165"/>
      <c r="E183" s="165">
        <f t="shared" si="12"/>
        <v>4159.360000000001</v>
      </c>
    </row>
    <row r="184" spans="1:5" ht="12.75" collapsed="1">
      <c r="A184" s="201" t="s">
        <v>134</v>
      </c>
      <c r="B184" s="85"/>
      <c r="C184" s="85"/>
      <c r="D184" s="85"/>
      <c r="E184" s="202">
        <f>E183</f>
        <v>4159.360000000001</v>
      </c>
    </row>
    <row r="185" spans="1:5" s="85" customFormat="1" ht="12.75">
      <c r="A185"/>
      <c r="B185"/>
      <c r="C185"/>
      <c r="D185"/>
      <c r="E185"/>
    </row>
    <row r="186" spans="1:5" ht="12.75">
      <c r="A186" s="4" t="s">
        <v>175</v>
      </c>
      <c r="B186" s="123"/>
      <c r="C186" s="129"/>
      <c r="D186" s="129"/>
      <c r="E186" s="129"/>
    </row>
    <row r="187" spans="1:5" ht="12.75" hidden="1" outlineLevel="1">
      <c r="A187" s="120" t="s">
        <v>0</v>
      </c>
      <c r="B187" s="120" t="s">
        <v>1</v>
      </c>
      <c r="C187" s="121" t="s">
        <v>132</v>
      </c>
      <c r="D187" s="121" t="s">
        <v>133</v>
      </c>
      <c r="E187" s="121" t="s">
        <v>134</v>
      </c>
    </row>
    <row r="188" spans="1:5" ht="12.75" hidden="1" outlineLevel="1">
      <c r="A188" s="160">
        <v>37623</v>
      </c>
      <c r="B188" s="85" t="s">
        <v>5</v>
      </c>
      <c r="C188" s="134"/>
      <c r="D188" s="134">
        <v>30</v>
      </c>
      <c r="E188" s="134">
        <f>SUM(C188:D188)+E184</f>
        <v>4189.360000000001</v>
      </c>
    </row>
    <row r="189" spans="1:5" ht="12.75" hidden="1" outlineLevel="1">
      <c r="A189" s="160"/>
      <c r="B189" s="85" t="s">
        <v>10</v>
      </c>
      <c r="C189" s="134"/>
      <c r="D189" s="134">
        <v>30</v>
      </c>
      <c r="E189" s="134">
        <f aca="true" t="shared" si="13" ref="E189:E197">SUM(C189:D189)+E188</f>
        <v>4219.360000000001</v>
      </c>
    </row>
    <row r="190" spans="1:5" ht="12.75" hidden="1" outlineLevel="1">
      <c r="A190" s="160"/>
      <c r="B190" s="71" t="s">
        <v>7</v>
      </c>
      <c r="C190" s="134"/>
      <c r="D190" s="134">
        <v>30</v>
      </c>
      <c r="E190" s="134">
        <f t="shared" si="13"/>
        <v>4249.360000000001</v>
      </c>
    </row>
    <row r="191" spans="1:5" ht="12.75" hidden="1" outlineLevel="1">
      <c r="A191" s="160">
        <v>37627</v>
      </c>
      <c r="B191" s="71" t="s">
        <v>49</v>
      </c>
      <c r="C191" s="134"/>
      <c r="D191" s="134">
        <v>30</v>
      </c>
      <c r="E191" s="134">
        <f t="shared" si="13"/>
        <v>4279.360000000001</v>
      </c>
    </row>
    <row r="192" spans="1:5" ht="12.75" hidden="1" outlineLevel="1">
      <c r="A192" s="160"/>
      <c r="B192" s="71" t="s">
        <v>6</v>
      </c>
      <c r="C192" s="134"/>
      <c r="D192" s="98">
        <v>30</v>
      </c>
      <c r="E192" s="134">
        <f>SUM(C192:D192)+E191</f>
        <v>4309.360000000001</v>
      </c>
    </row>
    <row r="193" spans="1:5" ht="12.75" hidden="1" outlineLevel="1">
      <c r="A193" s="160"/>
      <c r="B193" s="71" t="s">
        <v>9</v>
      </c>
      <c r="C193" s="134"/>
      <c r="D193" s="98">
        <v>30</v>
      </c>
      <c r="E193" s="98">
        <f t="shared" si="13"/>
        <v>4339.360000000001</v>
      </c>
    </row>
    <row r="194" spans="1:5" ht="12.75" hidden="1" outlineLevel="1">
      <c r="A194" s="160"/>
      <c r="B194" s="71" t="s">
        <v>11</v>
      </c>
      <c r="C194" s="134"/>
      <c r="D194" s="98">
        <v>30</v>
      </c>
      <c r="E194" s="98">
        <f t="shared" si="13"/>
        <v>4369.360000000001</v>
      </c>
    </row>
    <row r="195" spans="1:5" ht="12.75" hidden="1" outlineLevel="1">
      <c r="A195" s="160"/>
      <c r="B195" s="71" t="s">
        <v>50</v>
      </c>
      <c r="C195" s="98"/>
      <c r="D195" s="98">
        <v>30</v>
      </c>
      <c r="E195" s="98">
        <f t="shared" si="13"/>
        <v>4399.360000000001</v>
      </c>
    </row>
    <row r="196" spans="1:5" ht="12.75" hidden="1" outlineLevel="1">
      <c r="A196" s="160"/>
      <c r="B196" s="71" t="s">
        <v>56</v>
      </c>
      <c r="C196" s="85"/>
      <c r="D196" s="98">
        <v>30</v>
      </c>
      <c r="E196" s="98">
        <f t="shared" si="13"/>
        <v>4429.360000000001</v>
      </c>
    </row>
    <row r="197" spans="2:5" ht="12.75" hidden="1" outlineLevel="1">
      <c r="B197" s="71" t="s">
        <v>52</v>
      </c>
      <c r="C197" s="85"/>
      <c r="D197" s="98">
        <v>30</v>
      </c>
      <c r="E197" s="98">
        <f t="shared" si="13"/>
        <v>4459.360000000001</v>
      </c>
    </row>
    <row r="198" spans="1:5" ht="12.75" hidden="1" outlineLevel="1">
      <c r="A198" s="160">
        <v>37628</v>
      </c>
      <c r="B198" s="71" t="s">
        <v>54</v>
      </c>
      <c r="C198" s="85"/>
      <c r="D198" s="98">
        <v>30</v>
      </c>
      <c r="E198" s="98">
        <f aca="true" t="shared" si="14" ref="E198:E205">SUM(C198:D198)+E197</f>
        <v>4489.360000000001</v>
      </c>
    </row>
    <row r="199" spans="1:5" ht="12.75" hidden="1" outlineLevel="1">
      <c r="A199" s="160"/>
      <c r="B199" s="71" t="s">
        <v>8</v>
      </c>
      <c r="C199" s="85"/>
      <c r="D199" s="98">
        <v>30</v>
      </c>
      <c r="E199" s="98">
        <f t="shared" si="14"/>
        <v>4519.360000000001</v>
      </c>
    </row>
    <row r="200" spans="1:5" ht="12.75" hidden="1" outlineLevel="1">
      <c r="A200" s="160">
        <v>37631</v>
      </c>
      <c r="B200" s="71" t="s">
        <v>145</v>
      </c>
      <c r="C200" s="85"/>
      <c r="D200" s="98">
        <v>4.44</v>
      </c>
      <c r="E200" s="98">
        <f t="shared" si="14"/>
        <v>4523.8</v>
      </c>
    </row>
    <row r="201" spans="1:5" ht="12.75" hidden="1" outlineLevel="1">
      <c r="A201" s="160"/>
      <c r="B201" s="7" t="s">
        <v>264</v>
      </c>
      <c r="C201" s="129">
        <v>-20</v>
      </c>
      <c r="E201" s="98">
        <f t="shared" si="14"/>
        <v>4503.8</v>
      </c>
    </row>
    <row r="202" spans="1:5" ht="12.75" hidden="1" outlineLevel="1">
      <c r="A202" s="160">
        <v>37635</v>
      </c>
      <c r="B202" s="71" t="s">
        <v>164</v>
      </c>
      <c r="C202" s="91"/>
      <c r="D202" s="98">
        <v>17.87</v>
      </c>
      <c r="E202" s="98">
        <f t="shared" si="14"/>
        <v>4521.67</v>
      </c>
    </row>
    <row r="203" spans="1:5" ht="12.75" hidden="1" outlineLevel="1">
      <c r="A203" s="160">
        <v>37637</v>
      </c>
      <c r="B203" s="71" t="s">
        <v>187</v>
      </c>
      <c r="C203" s="98">
        <v>-1000</v>
      </c>
      <c r="D203" s="98"/>
      <c r="E203" s="98">
        <f t="shared" si="14"/>
        <v>3521.67</v>
      </c>
    </row>
    <row r="204" spans="1:5" ht="12.75" hidden="1" outlineLevel="1">
      <c r="A204" s="160">
        <v>37651</v>
      </c>
      <c r="B204" s="71" t="s">
        <v>7</v>
      </c>
      <c r="C204" s="134"/>
      <c r="D204" s="134">
        <v>30</v>
      </c>
      <c r="E204" s="98">
        <f>SUM(C204:D204)+E203</f>
        <v>3551.67</v>
      </c>
    </row>
    <row r="205" spans="1:5" ht="13.5" hidden="1" outlineLevel="1" thickBot="1">
      <c r="A205" s="161"/>
      <c r="B205" s="216" t="s">
        <v>187</v>
      </c>
      <c r="C205" s="165">
        <v>-999.86</v>
      </c>
      <c r="D205" s="165"/>
      <c r="E205" s="165">
        <f t="shared" si="14"/>
        <v>2551.81</v>
      </c>
    </row>
    <row r="206" spans="1:5" ht="12.75" collapsed="1">
      <c r="A206" s="201" t="s">
        <v>134</v>
      </c>
      <c r="B206" s="85"/>
      <c r="C206" s="85"/>
      <c r="D206" s="85"/>
      <c r="E206" s="202">
        <f>E205</f>
        <v>2551.81</v>
      </c>
    </row>
    <row r="208" spans="1:5" ht="12.75">
      <c r="A208" s="4" t="s">
        <v>177</v>
      </c>
      <c r="B208" s="123"/>
      <c r="C208" s="129"/>
      <c r="D208" s="129"/>
      <c r="E208" s="129"/>
    </row>
    <row r="209" spans="1:5" ht="12.75" hidden="1" outlineLevel="1">
      <c r="A209" s="120" t="s">
        <v>0</v>
      </c>
      <c r="B209" s="120" t="s">
        <v>1</v>
      </c>
      <c r="C209" s="121" t="s">
        <v>132</v>
      </c>
      <c r="D209" s="121" t="s">
        <v>133</v>
      </c>
      <c r="E209" s="121" t="s">
        <v>134</v>
      </c>
    </row>
    <row r="210" spans="1:5" ht="12.75" hidden="1" outlineLevel="1">
      <c r="A210" s="160">
        <v>37655</v>
      </c>
      <c r="B210" s="85" t="s">
        <v>5</v>
      </c>
      <c r="C210" s="121"/>
      <c r="D210" s="134">
        <v>30</v>
      </c>
      <c r="E210" s="134">
        <f>SUM(C210:D210)+E206</f>
        <v>2581.81</v>
      </c>
    </row>
    <row r="211" spans="2:5" ht="12.75" hidden="1" outlineLevel="1">
      <c r="B211" s="85" t="s">
        <v>10</v>
      </c>
      <c r="C211" s="134"/>
      <c r="D211" s="134">
        <v>30</v>
      </c>
      <c r="E211" s="134">
        <f aca="true" t="shared" si="15" ref="E211:E222">SUM(C211:D211)+E210</f>
        <v>2611.81</v>
      </c>
    </row>
    <row r="212" spans="1:5" ht="12.75" hidden="1" outlineLevel="1">
      <c r="A212" s="160">
        <v>37657</v>
      </c>
      <c r="B212" s="71" t="s">
        <v>49</v>
      </c>
      <c r="C212" s="134"/>
      <c r="D212" s="134">
        <v>30</v>
      </c>
      <c r="E212" s="134">
        <f t="shared" si="15"/>
        <v>2641.81</v>
      </c>
    </row>
    <row r="213" spans="1:5" ht="12.75" hidden="1" outlineLevel="1">
      <c r="A213" s="160"/>
      <c r="B213" s="71" t="s">
        <v>6</v>
      </c>
      <c r="C213" s="134"/>
      <c r="D213" s="134">
        <v>30</v>
      </c>
      <c r="E213" s="134">
        <f t="shared" si="15"/>
        <v>2671.81</v>
      </c>
    </row>
    <row r="214" spans="2:5" ht="12.75" hidden="1" outlineLevel="1">
      <c r="B214" s="71" t="s">
        <v>9</v>
      </c>
      <c r="C214" s="134"/>
      <c r="D214" s="134">
        <v>30</v>
      </c>
      <c r="E214" s="134">
        <f t="shared" si="15"/>
        <v>2701.81</v>
      </c>
    </row>
    <row r="215" spans="2:5" ht="12.75" hidden="1" outlineLevel="1">
      <c r="B215" s="71" t="s">
        <v>11</v>
      </c>
      <c r="C215" s="134"/>
      <c r="D215" s="98">
        <v>30</v>
      </c>
      <c r="E215" s="134">
        <f t="shared" si="15"/>
        <v>2731.81</v>
      </c>
    </row>
    <row r="216" spans="1:5" ht="12.75" hidden="1" outlineLevel="1">
      <c r="A216" s="160"/>
      <c r="B216" s="71" t="s">
        <v>50</v>
      </c>
      <c r="C216" s="134"/>
      <c r="D216" s="98">
        <v>30</v>
      </c>
      <c r="E216" s="98">
        <f t="shared" si="15"/>
        <v>2761.81</v>
      </c>
    </row>
    <row r="217" spans="1:5" ht="12.75" hidden="1" outlineLevel="1">
      <c r="A217" s="160"/>
      <c r="B217" s="71" t="s">
        <v>54</v>
      </c>
      <c r="C217" s="134"/>
      <c r="D217" s="98">
        <v>30</v>
      </c>
      <c r="E217" s="98">
        <f t="shared" si="15"/>
        <v>2791.81</v>
      </c>
    </row>
    <row r="218" spans="1:5" ht="12.75" hidden="1" outlineLevel="1">
      <c r="A218" s="160"/>
      <c r="B218" s="71" t="s">
        <v>56</v>
      </c>
      <c r="C218" s="98"/>
      <c r="D218" s="98">
        <v>30</v>
      </c>
      <c r="E218" s="98">
        <f t="shared" si="15"/>
        <v>2821.81</v>
      </c>
    </row>
    <row r="219" spans="1:5" ht="12.75" hidden="1" outlineLevel="1">
      <c r="A219" s="160"/>
      <c r="B219" s="71" t="s">
        <v>52</v>
      </c>
      <c r="C219" s="85"/>
      <c r="D219" s="98">
        <v>30</v>
      </c>
      <c r="E219" s="98">
        <f t="shared" si="15"/>
        <v>2851.81</v>
      </c>
    </row>
    <row r="220" spans="1:5" ht="12.75" hidden="1" outlineLevel="1">
      <c r="A220" s="160">
        <v>37658</v>
      </c>
      <c r="B220" s="71" t="s">
        <v>8</v>
      </c>
      <c r="C220" s="85"/>
      <c r="D220" s="98">
        <v>30</v>
      </c>
      <c r="E220" s="98">
        <f t="shared" si="15"/>
        <v>2881.81</v>
      </c>
    </row>
    <row r="221" spans="1:5" ht="12.75" hidden="1" outlineLevel="1">
      <c r="A221" s="160">
        <v>37662</v>
      </c>
      <c r="B221" s="71" t="s">
        <v>145</v>
      </c>
      <c r="C221" s="85"/>
      <c r="D221" s="98">
        <v>3.43</v>
      </c>
      <c r="E221" s="98">
        <f t="shared" si="15"/>
        <v>2885.24</v>
      </c>
    </row>
    <row r="222" spans="1:5" ht="13.5" hidden="1" outlineLevel="1" thickBot="1">
      <c r="A222" s="161">
        <v>37669</v>
      </c>
      <c r="B222" s="216" t="s">
        <v>168</v>
      </c>
      <c r="C222" s="162">
        <v>-500</v>
      </c>
      <c r="D222" s="165"/>
      <c r="E222" s="165">
        <f t="shared" si="15"/>
        <v>2385.24</v>
      </c>
    </row>
    <row r="223" spans="1:5" ht="12.75" collapsed="1">
      <c r="A223" s="201" t="s">
        <v>134</v>
      </c>
      <c r="B223" s="85"/>
      <c r="C223" s="85"/>
      <c r="D223" s="85"/>
      <c r="E223" s="202">
        <f>E222</f>
        <v>2385.24</v>
      </c>
    </row>
    <row r="225" spans="1:5" ht="12.75">
      <c r="A225" s="4" t="s">
        <v>182</v>
      </c>
      <c r="B225" s="123"/>
      <c r="C225" s="129"/>
      <c r="D225" s="129"/>
      <c r="E225" s="129"/>
    </row>
    <row r="226" spans="1:5" ht="12.75" hidden="1" outlineLevel="1">
      <c r="A226" s="120" t="s">
        <v>0</v>
      </c>
      <c r="B226" s="120" t="s">
        <v>1</v>
      </c>
      <c r="C226" s="121" t="s">
        <v>132</v>
      </c>
      <c r="D226" s="121" t="s">
        <v>133</v>
      </c>
      <c r="E226" s="121" t="s">
        <v>134</v>
      </c>
    </row>
    <row r="227" spans="1:5" ht="12.75" hidden="1" outlineLevel="1">
      <c r="A227" s="160">
        <v>37683</v>
      </c>
      <c r="B227" s="85" t="s">
        <v>5</v>
      </c>
      <c r="C227" s="121"/>
      <c r="D227" s="134">
        <v>30</v>
      </c>
      <c r="E227" s="134">
        <f>SUM(C227:D227)+E223</f>
        <v>2415.24</v>
      </c>
    </row>
    <row r="228" spans="1:5" ht="12.75" hidden="1" outlineLevel="1">
      <c r="A228" s="160"/>
      <c r="B228" s="85" t="s">
        <v>10</v>
      </c>
      <c r="C228" s="134"/>
      <c r="D228" s="134">
        <v>30</v>
      </c>
      <c r="E228" s="134">
        <f>SUM(C228:D228)+E227</f>
        <v>2445.24</v>
      </c>
    </row>
    <row r="229" spans="1:5" ht="12.75" hidden="1" outlineLevel="1">
      <c r="A229" s="160">
        <v>37684</v>
      </c>
      <c r="B229" s="71" t="s">
        <v>234</v>
      </c>
      <c r="C229" s="134"/>
      <c r="D229" s="134">
        <v>19.67</v>
      </c>
      <c r="E229" s="134">
        <f>SUM(C229:D229)+E228</f>
        <v>2464.91</v>
      </c>
    </row>
    <row r="230" spans="2:5" ht="12.75" hidden="1" outlineLevel="1">
      <c r="B230" s="71" t="s">
        <v>7</v>
      </c>
      <c r="C230" s="134"/>
      <c r="D230" s="134">
        <v>30</v>
      </c>
      <c r="E230" s="134">
        <f>SUM(C230:D230)+E229</f>
        <v>2494.91</v>
      </c>
    </row>
    <row r="231" spans="1:5" ht="12.75" hidden="1" outlineLevel="1">
      <c r="A231" s="160">
        <v>37685</v>
      </c>
      <c r="B231" s="71" t="s">
        <v>49</v>
      </c>
      <c r="D231" s="134">
        <v>30</v>
      </c>
      <c r="E231" s="134">
        <f>SUM(B231:D231)+E230</f>
        <v>2524.91</v>
      </c>
    </row>
    <row r="232" spans="2:5" ht="12.75" hidden="1" outlineLevel="1">
      <c r="B232" s="71" t="s">
        <v>6</v>
      </c>
      <c r="C232" s="134"/>
      <c r="D232" s="98">
        <v>30</v>
      </c>
      <c r="E232" s="134">
        <f>SUM(C232:D232)+E231</f>
        <v>2554.91</v>
      </c>
    </row>
    <row r="233" spans="1:5" ht="12.75" hidden="1" outlineLevel="1">
      <c r="A233" s="160"/>
      <c r="B233" s="71" t="s">
        <v>9</v>
      </c>
      <c r="C233" s="134"/>
      <c r="D233" s="98">
        <v>30</v>
      </c>
      <c r="E233" s="98">
        <f aca="true" t="shared" si="16" ref="E233:E239">SUM(C233:D233)+E232</f>
        <v>2584.91</v>
      </c>
    </row>
    <row r="234" spans="1:5" ht="12.75" hidden="1" outlineLevel="1">
      <c r="A234" s="160"/>
      <c r="B234" s="71" t="s">
        <v>11</v>
      </c>
      <c r="C234" s="134"/>
      <c r="D234" s="98">
        <v>30</v>
      </c>
      <c r="E234" s="98">
        <f t="shared" si="16"/>
        <v>2614.91</v>
      </c>
    </row>
    <row r="235" spans="1:5" ht="12.75" hidden="1" outlineLevel="1">
      <c r="A235" s="159"/>
      <c r="B235" s="71" t="s">
        <v>50</v>
      </c>
      <c r="C235" s="98"/>
      <c r="D235" s="98">
        <v>30</v>
      </c>
      <c r="E235" s="98">
        <f t="shared" si="16"/>
        <v>2644.91</v>
      </c>
    </row>
    <row r="236" spans="1:5" ht="12.75" hidden="1" outlineLevel="1">
      <c r="A236" s="159"/>
      <c r="B236" s="71" t="s">
        <v>54</v>
      </c>
      <c r="D236" s="98">
        <v>30</v>
      </c>
      <c r="E236" s="98">
        <f>SUM(C236:D236)+E235</f>
        <v>2674.91</v>
      </c>
    </row>
    <row r="237" spans="1:5" ht="12.75" customHeight="1" hidden="1" outlineLevel="1">
      <c r="A237" s="7"/>
      <c r="B237" s="71" t="s">
        <v>56</v>
      </c>
      <c r="C237" s="71"/>
      <c r="D237" s="98">
        <v>30</v>
      </c>
      <c r="E237" s="98">
        <f t="shared" si="16"/>
        <v>2704.91</v>
      </c>
    </row>
    <row r="238" spans="2:5" ht="12.75" customHeight="1" hidden="1" outlineLevel="1">
      <c r="B238" s="71" t="s">
        <v>52</v>
      </c>
      <c r="C238" s="71"/>
      <c r="D238" s="98">
        <v>30</v>
      </c>
      <c r="E238" s="98">
        <f t="shared" si="16"/>
        <v>2734.91</v>
      </c>
    </row>
    <row r="239" spans="1:5" ht="12.75" customHeight="1" hidden="1" outlineLevel="1">
      <c r="A239" s="159">
        <v>37686</v>
      </c>
      <c r="B239" s="71" t="s">
        <v>273</v>
      </c>
      <c r="C239" s="71"/>
      <c r="D239" s="98">
        <v>639.82</v>
      </c>
      <c r="E239" s="98">
        <f t="shared" si="16"/>
        <v>3374.73</v>
      </c>
    </row>
    <row r="240" spans="1:5" ht="12.75" customHeight="1" hidden="1" outlineLevel="1">
      <c r="A240" s="7"/>
      <c r="B240" s="71" t="s">
        <v>8</v>
      </c>
      <c r="C240" s="71"/>
      <c r="D240" s="98">
        <v>30</v>
      </c>
      <c r="E240" s="98">
        <f>SUM(C240:D240)+E239</f>
        <v>3404.73</v>
      </c>
    </row>
    <row r="241" spans="1:5" ht="12.75" customHeight="1" hidden="1" outlineLevel="1">
      <c r="A241" s="159">
        <v>37690</v>
      </c>
      <c r="B241" s="71" t="s">
        <v>145</v>
      </c>
      <c r="C241" s="8"/>
      <c r="D241" s="98">
        <v>2.06</v>
      </c>
      <c r="E241" s="98">
        <f>SUM(C241:D241)+E240</f>
        <v>3406.79</v>
      </c>
    </row>
    <row r="242" spans="1:5" ht="12.75" customHeight="1" hidden="1" outlineLevel="1">
      <c r="A242" s="159"/>
      <c r="B242" s="71" t="s">
        <v>168</v>
      </c>
      <c r="C242" s="124">
        <v>-499.08</v>
      </c>
      <c r="D242" s="98"/>
      <c r="E242" s="98">
        <f>SUM(C242:D242)+E241</f>
        <v>2907.71</v>
      </c>
    </row>
    <row r="243" spans="1:5" ht="12.75" customHeight="1" hidden="1" outlineLevel="1">
      <c r="A243" s="159">
        <v>37694</v>
      </c>
      <c r="B243" s="71" t="s">
        <v>168</v>
      </c>
      <c r="C243" s="124">
        <v>-2887.71</v>
      </c>
      <c r="D243" s="98"/>
      <c r="E243" s="98">
        <f>SUM(C243:D243)+E242</f>
        <v>20</v>
      </c>
    </row>
    <row r="244" spans="1:5" ht="12.75" customHeight="1" hidden="1" outlineLevel="1" thickBot="1">
      <c r="A244" s="161">
        <v>37698</v>
      </c>
      <c r="B244" s="216" t="s">
        <v>168</v>
      </c>
      <c r="C244" s="131">
        <v>-20</v>
      </c>
      <c r="D244" s="165"/>
      <c r="E244" s="165">
        <f>SUM(C244:D244)+E243</f>
        <v>0</v>
      </c>
    </row>
    <row r="245" spans="1:5" ht="12.75" customHeight="1" collapsed="1">
      <c r="A245" s="201" t="s">
        <v>134</v>
      </c>
      <c r="B245" s="85"/>
      <c r="C245" s="85"/>
      <c r="D245" s="85"/>
      <c r="E245" s="202">
        <f>E244</f>
        <v>0</v>
      </c>
    </row>
    <row r="246" ht="12.75" customHeight="1"/>
    <row r="247" ht="12.75" customHeight="1"/>
  </sheetData>
  <mergeCells count="3">
    <mergeCell ref="A1:B1"/>
    <mergeCell ref="A23:B23"/>
    <mergeCell ref="A62:B6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04"/>
  <sheetViews>
    <sheetView zoomScale="85" zoomScaleNormal="85" workbookViewId="0" topLeftCell="A1">
      <selection activeCell="B2" sqref="B2"/>
    </sheetView>
  </sheetViews>
  <sheetFormatPr defaultColWidth="9.140625" defaultRowHeight="12.75" outlineLevelRow="1"/>
  <cols>
    <col min="1" max="1" width="0.85546875" style="0" customWidth="1"/>
    <col min="2" max="2" width="9.7109375" style="0" customWidth="1"/>
    <col min="3" max="3" width="7.7109375" style="122" customWidth="1"/>
    <col min="4" max="4" width="8.7109375" style="126" customWidth="1"/>
    <col min="5" max="5" width="20.140625" style="0" customWidth="1"/>
    <col min="6" max="6" width="8.421875" style="122" customWidth="1"/>
    <col min="7" max="7" width="8.8515625" style="122" customWidth="1"/>
    <col min="8" max="8" width="9.28125" style="122" bestFit="1" customWidth="1"/>
  </cols>
  <sheetData>
    <row r="2" spans="2:8" ht="12.75">
      <c r="B2" s="4" t="s">
        <v>138</v>
      </c>
      <c r="C2" s="123"/>
      <c r="E2" s="2"/>
      <c r="F2" s="129"/>
      <c r="G2" s="129"/>
      <c r="H2" s="129"/>
    </row>
    <row r="3" spans="2:8" ht="12.75" hidden="1" outlineLevel="1">
      <c r="B3" s="120" t="s">
        <v>0</v>
      </c>
      <c r="C3" s="120" t="s">
        <v>130</v>
      </c>
      <c r="D3" s="121" t="s">
        <v>66</v>
      </c>
      <c r="E3" s="121" t="s">
        <v>131</v>
      </c>
      <c r="F3" s="121" t="s">
        <v>132</v>
      </c>
      <c r="G3" s="121" t="s">
        <v>133</v>
      </c>
      <c r="H3" s="121" t="s">
        <v>134</v>
      </c>
    </row>
    <row r="4" spans="2:8" ht="12.75" hidden="1" outlineLevel="1">
      <c r="B4" s="85"/>
      <c r="C4" s="125" t="s">
        <v>134</v>
      </c>
      <c r="D4" s="214"/>
      <c r="E4" s="83"/>
      <c r="F4" s="134"/>
      <c r="G4" s="134"/>
      <c r="H4" s="134">
        <v>742.96</v>
      </c>
    </row>
    <row r="5" spans="2:8" ht="12.75" hidden="1" outlineLevel="1">
      <c r="B5" s="159">
        <v>37357</v>
      </c>
      <c r="C5" s="125"/>
      <c r="D5" s="214"/>
      <c r="E5" s="91" t="s">
        <v>128</v>
      </c>
      <c r="F5" s="134"/>
      <c r="G5" s="134">
        <v>420</v>
      </c>
      <c r="H5" s="98">
        <f>SUM(F5:G5)+H4</f>
        <v>1162.96</v>
      </c>
    </row>
    <row r="6" spans="2:8" ht="12.75" hidden="1" outlineLevel="1">
      <c r="B6" s="159">
        <v>37357</v>
      </c>
      <c r="C6" s="125"/>
      <c r="D6" s="214"/>
      <c r="E6" s="91" t="s">
        <v>128</v>
      </c>
      <c r="F6" s="134"/>
      <c r="G6" s="134">
        <v>1400.02</v>
      </c>
      <c r="H6" s="98">
        <f>SUM(F6:G6)+H5</f>
        <v>2562.98</v>
      </c>
    </row>
    <row r="7" spans="2:8" ht="12.75" hidden="1" outlineLevel="1">
      <c r="B7" s="159">
        <v>37375</v>
      </c>
      <c r="C7" s="97" t="s">
        <v>136</v>
      </c>
      <c r="D7" s="166">
        <v>716</v>
      </c>
      <c r="E7" s="91" t="s">
        <v>51</v>
      </c>
      <c r="F7" s="98"/>
      <c r="G7" s="98">
        <v>764.71</v>
      </c>
      <c r="H7" s="98">
        <f>SUM(F7:G7)+H6</f>
        <v>3327.69</v>
      </c>
    </row>
    <row r="8" spans="2:8" ht="13.5" hidden="1" outlineLevel="1" thickBot="1">
      <c r="B8" s="161">
        <v>37375</v>
      </c>
      <c r="C8" s="162" t="s">
        <v>137</v>
      </c>
      <c r="D8" s="163">
        <v>202</v>
      </c>
      <c r="E8" s="164" t="s">
        <v>193</v>
      </c>
      <c r="F8" s="165">
        <v>-995.61</v>
      </c>
      <c r="G8" s="165"/>
      <c r="H8" s="165">
        <f>SUM(F8:G8)+H7</f>
        <v>2332.08</v>
      </c>
    </row>
    <row r="9" spans="2:8" ht="12.75" collapsed="1">
      <c r="B9" s="215" t="s">
        <v>134</v>
      </c>
      <c r="C9" s="125"/>
      <c r="D9" s="166"/>
      <c r="E9" s="91"/>
      <c r="F9" s="98"/>
      <c r="G9" s="98"/>
      <c r="H9" s="217">
        <f>SUM(F9:G9)+H8</f>
        <v>2332.08</v>
      </c>
    </row>
    <row r="11" spans="2:8" ht="12.75">
      <c r="B11" s="4" t="s">
        <v>140</v>
      </c>
      <c r="C11" s="123"/>
      <c r="E11" s="2"/>
      <c r="F11" s="129"/>
      <c r="G11" s="129"/>
      <c r="H11" s="129"/>
    </row>
    <row r="12" spans="2:8" ht="12.75" hidden="1" outlineLevel="1">
      <c r="B12" s="120" t="s">
        <v>0</v>
      </c>
      <c r="C12" s="120" t="s">
        <v>130</v>
      </c>
      <c r="D12" s="121" t="s">
        <v>66</v>
      </c>
      <c r="E12" s="121" t="s">
        <v>131</v>
      </c>
      <c r="F12" s="121" t="s">
        <v>132</v>
      </c>
      <c r="G12" s="121" t="s">
        <v>133</v>
      </c>
      <c r="H12" s="121" t="s">
        <v>134</v>
      </c>
    </row>
    <row r="13" spans="2:8" ht="12.75" hidden="1" outlineLevel="1">
      <c r="B13" s="85"/>
      <c r="C13" s="125" t="s">
        <v>134</v>
      </c>
      <c r="D13" s="214"/>
      <c r="E13" s="83"/>
      <c r="F13" s="134"/>
      <c r="G13" s="134"/>
      <c r="H13" s="134">
        <f>H9</f>
        <v>2332.08</v>
      </c>
    </row>
    <row r="14" spans="2:8" ht="12.75" hidden="1" outlineLevel="1">
      <c r="B14" s="159">
        <v>37378</v>
      </c>
      <c r="C14" s="125" t="s">
        <v>136</v>
      </c>
      <c r="D14" s="214">
        <v>2000</v>
      </c>
      <c r="E14" s="91" t="s">
        <v>152</v>
      </c>
      <c r="F14" s="134"/>
      <c r="G14" s="134">
        <v>253.5</v>
      </c>
      <c r="H14" s="98">
        <f>SUM(F14:G14)+H13</f>
        <v>2585.58</v>
      </c>
    </row>
    <row r="15" spans="2:8" ht="12.75" hidden="1" outlineLevel="1">
      <c r="B15" s="159"/>
      <c r="C15" s="125"/>
      <c r="D15" s="214"/>
      <c r="E15" s="91" t="s">
        <v>205</v>
      </c>
      <c r="F15" s="134"/>
      <c r="G15" s="134">
        <v>25.24</v>
      </c>
      <c r="H15" s="98">
        <f>SUM(F15:G15)+H14</f>
        <v>2610.8199999999997</v>
      </c>
    </row>
    <row r="16" spans="2:8" ht="12.75" hidden="1" outlineLevel="1">
      <c r="B16" s="159">
        <v>37389</v>
      </c>
      <c r="C16" s="97" t="s">
        <v>136</v>
      </c>
      <c r="D16" s="166">
        <v>85</v>
      </c>
      <c r="E16" s="91" t="s">
        <v>185</v>
      </c>
      <c r="F16" s="98"/>
      <c r="G16" s="98">
        <v>788.95</v>
      </c>
      <c r="H16" s="98">
        <f>SUM(F16:G16)+H15</f>
        <v>3399.7699999999995</v>
      </c>
    </row>
    <row r="17" spans="2:8" ht="12.75" hidden="1" outlineLevel="1">
      <c r="B17" s="159">
        <v>37390</v>
      </c>
      <c r="C17" s="125"/>
      <c r="D17" s="214"/>
      <c r="E17" s="91" t="s">
        <v>128</v>
      </c>
      <c r="F17" s="134"/>
      <c r="G17" s="134">
        <v>420</v>
      </c>
      <c r="H17" s="98">
        <f>SUM(F17:G17)+H16</f>
        <v>3819.7699999999995</v>
      </c>
    </row>
    <row r="18" spans="2:8" ht="13.5" hidden="1" outlineLevel="1" thickBot="1">
      <c r="B18" s="161">
        <v>37391</v>
      </c>
      <c r="C18" s="162"/>
      <c r="D18" s="163"/>
      <c r="E18" s="164" t="s">
        <v>206</v>
      </c>
      <c r="F18" s="165"/>
      <c r="G18" s="165">
        <v>15.06</v>
      </c>
      <c r="H18" s="165">
        <f>SUM(F18:G18)+H17</f>
        <v>3834.8299999999995</v>
      </c>
    </row>
    <row r="19" spans="2:8" ht="12.75" collapsed="1">
      <c r="B19" s="215" t="s">
        <v>134</v>
      </c>
      <c r="C19" s="125"/>
      <c r="D19" s="166"/>
      <c r="E19" s="91"/>
      <c r="F19" s="98"/>
      <c r="G19" s="98"/>
      <c r="H19" s="217">
        <f>H18</f>
        <v>3834.8299999999995</v>
      </c>
    </row>
    <row r="20" spans="2:8" ht="12.75">
      <c r="B20" s="181"/>
      <c r="C20" s="97"/>
      <c r="D20" s="166"/>
      <c r="E20" s="91"/>
      <c r="F20" s="98"/>
      <c r="G20" s="98"/>
      <c r="H20" s="217"/>
    </row>
    <row r="21" spans="2:8" ht="12.75">
      <c r="B21" s="4" t="s">
        <v>141</v>
      </c>
      <c r="C21" s="123"/>
      <c r="E21" s="2"/>
      <c r="F21" s="129"/>
      <c r="G21" s="129"/>
      <c r="H21" s="129"/>
    </row>
    <row r="22" spans="2:8" ht="12.75" hidden="1" outlineLevel="1">
      <c r="B22" s="120" t="s">
        <v>0</v>
      </c>
      <c r="C22" s="120" t="s">
        <v>130</v>
      </c>
      <c r="D22" s="121" t="s">
        <v>66</v>
      </c>
      <c r="E22" s="121" t="s">
        <v>131</v>
      </c>
      <c r="F22" s="121" t="s">
        <v>132</v>
      </c>
      <c r="G22" s="121" t="s">
        <v>133</v>
      </c>
      <c r="H22" s="121" t="s">
        <v>134</v>
      </c>
    </row>
    <row r="23" spans="2:8" ht="12.75" hidden="1" outlineLevel="1">
      <c r="B23" s="85"/>
      <c r="C23" s="125" t="s">
        <v>134</v>
      </c>
      <c r="D23" s="214"/>
      <c r="E23" s="83"/>
      <c r="F23" s="134"/>
      <c r="G23" s="134"/>
      <c r="H23" s="134">
        <f>H19</f>
        <v>3834.8299999999995</v>
      </c>
    </row>
    <row r="24" spans="2:8" ht="12.75" hidden="1" outlineLevel="1">
      <c r="B24" s="159">
        <v>37414</v>
      </c>
      <c r="C24" s="97"/>
      <c r="D24" s="166"/>
      <c r="E24" s="91" t="s">
        <v>215</v>
      </c>
      <c r="F24" s="98"/>
      <c r="G24" s="98">
        <v>18.58</v>
      </c>
      <c r="H24" s="98">
        <f>SUM(F24:G24)+H23</f>
        <v>3853.4099999999994</v>
      </c>
    </row>
    <row r="25" spans="2:8" ht="12.75" hidden="1" outlineLevel="1">
      <c r="B25" s="159">
        <v>37427</v>
      </c>
      <c r="C25" s="97"/>
      <c r="D25" s="166"/>
      <c r="E25" s="91" t="s">
        <v>128</v>
      </c>
      <c r="F25" s="134"/>
      <c r="G25" s="134">
        <v>420.03</v>
      </c>
      <c r="H25" s="98">
        <f>SUM(F25:G25)+H24</f>
        <v>4273.44</v>
      </c>
    </row>
    <row r="26" spans="2:8" ht="13.5" hidden="1" outlineLevel="1" thickBot="1">
      <c r="B26" s="161">
        <v>37427</v>
      </c>
      <c r="C26" s="162" t="s">
        <v>137</v>
      </c>
      <c r="D26" s="163">
        <v>5090</v>
      </c>
      <c r="E26" s="164" t="s">
        <v>152</v>
      </c>
      <c r="F26" s="165">
        <v>-249.98</v>
      </c>
      <c r="G26" s="165"/>
      <c r="H26" s="165">
        <f>SUM(F26:G26)+H25</f>
        <v>4023.4599999999996</v>
      </c>
    </row>
    <row r="27" spans="2:8" ht="12.75" collapsed="1">
      <c r="B27" s="215" t="s">
        <v>134</v>
      </c>
      <c r="C27" s="125"/>
      <c r="D27" s="166"/>
      <c r="E27" s="91"/>
      <c r="F27" s="98"/>
      <c r="G27" s="98"/>
      <c r="H27" s="217">
        <f>H26</f>
        <v>4023.4599999999996</v>
      </c>
    </row>
    <row r="29" spans="2:8" ht="12.75">
      <c r="B29" s="4" t="s">
        <v>142</v>
      </c>
      <c r="C29" s="123"/>
      <c r="E29" s="2"/>
      <c r="F29" s="129"/>
      <c r="G29" s="129"/>
      <c r="H29" s="129"/>
    </row>
    <row r="30" spans="2:8" ht="12.75" hidden="1" outlineLevel="1">
      <c r="B30" s="120" t="s">
        <v>0</v>
      </c>
      <c r="C30" s="120" t="s">
        <v>130</v>
      </c>
      <c r="D30" s="121" t="s">
        <v>66</v>
      </c>
      <c r="E30" s="121" t="s">
        <v>131</v>
      </c>
      <c r="F30" s="121" t="s">
        <v>132</v>
      </c>
      <c r="G30" s="121" t="s">
        <v>133</v>
      </c>
      <c r="H30" s="121" t="s">
        <v>134</v>
      </c>
    </row>
    <row r="31" spans="2:8" ht="12.75" hidden="1" outlineLevel="1">
      <c r="B31" s="85"/>
      <c r="C31" s="125" t="s">
        <v>134</v>
      </c>
      <c r="D31" s="214"/>
      <c r="E31" s="83"/>
      <c r="F31" s="134"/>
      <c r="G31" s="134"/>
      <c r="H31" s="134">
        <f>H27</f>
        <v>4023.4599999999996</v>
      </c>
    </row>
    <row r="32" spans="2:8" ht="12.75" hidden="1" outlineLevel="1">
      <c r="B32" s="159">
        <v>37448</v>
      </c>
      <c r="C32" s="97"/>
      <c r="D32" s="166"/>
      <c r="E32" s="91" t="s">
        <v>128</v>
      </c>
      <c r="F32" s="98"/>
      <c r="G32" s="98">
        <v>420.03</v>
      </c>
      <c r="H32" s="98">
        <f>SUM(F32:G32)+H31</f>
        <v>4443.49</v>
      </c>
    </row>
    <row r="33" spans="2:8" ht="13.5" hidden="1" outlineLevel="1" thickBot="1">
      <c r="B33" s="161">
        <v>37453</v>
      </c>
      <c r="C33" s="162" t="s">
        <v>136</v>
      </c>
      <c r="D33" s="163">
        <v>561</v>
      </c>
      <c r="E33" s="164" t="s">
        <v>189</v>
      </c>
      <c r="F33" s="165"/>
      <c r="G33" s="165">
        <v>918.15</v>
      </c>
      <c r="H33" s="165">
        <f>SUM(F33:G33)+H32</f>
        <v>5361.639999999999</v>
      </c>
    </row>
    <row r="34" spans="2:8" ht="12.75" collapsed="1">
      <c r="B34" s="215" t="s">
        <v>134</v>
      </c>
      <c r="C34" s="125"/>
      <c r="D34" s="166"/>
      <c r="E34" s="91"/>
      <c r="F34" s="98"/>
      <c r="G34" s="98"/>
      <c r="H34" s="217">
        <f>H33</f>
        <v>5361.639999999999</v>
      </c>
    </row>
    <row r="36" spans="2:9" ht="12.75">
      <c r="B36" s="4" t="s">
        <v>144</v>
      </c>
      <c r="C36" s="123"/>
      <c r="E36" s="2"/>
      <c r="F36" s="129"/>
      <c r="G36" s="129"/>
      <c r="H36" s="129"/>
      <c r="I36" s="7"/>
    </row>
    <row r="37" spans="2:9" ht="12.75" hidden="1" outlineLevel="1">
      <c r="B37" s="120" t="s">
        <v>0</v>
      </c>
      <c r="C37" s="120" t="s">
        <v>130</v>
      </c>
      <c r="D37" s="121" t="s">
        <v>66</v>
      </c>
      <c r="E37" s="121" t="s">
        <v>131</v>
      </c>
      <c r="F37" s="121" t="s">
        <v>132</v>
      </c>
      <c r="G37" s="121" t="s">
        <v>133</v>
      </c>
      <c r="H37" s="121" t="s">
        <v>134</v>
      </c>
      <c r="I37" s="7"/>
    </row>
    <row r="38" spans="2:8" ht="12.75" hidden="1" outlineLevel="1">
      <c r="B38" s="85"/>
      <c r="C38" s="125" t="s">
        <v>134</v>
      </c>
      <c r="D38" s="214"/>
      <c r="E38" s="83"/>
      <c r="F38" s="134"/>
      <c r="G38" s="134"/>
      <c r="H38" s="134">
        <f>H34</f>
        <v>5361.639999999999</v>
      </c>
    </row>
    <row r="39" spans="2:8" ht="12.75" hidden="1" outlineLevel="1">
      <c r="B39" s="159">
        <v>37470</v>
      </c>
      <c r="C39" s="97"/>
      <c r="D39" s="166"/>
      <c r="E39" s="91" t="s">
        <v>226</v>
      </c>
      <c r="F39" s="98"/>
      <c r="G39" s="98">
        <v>13.97</v>
      </c>
      <c r="H39" s="98">
        <f>SUM(F39:G39)+H38</f>
        <v>5375.61</v>
      </c>
    </row>
    <row r="40" spans="2:8" ht="12.75" hidden="1" outlineLevel="1">
      <c r="B40" s="159">
        <v>37483</v>
      </c>
      <c r="C40" s="97"/>
      <c r="D40" s="166"/>
      <c r="E40" s="91" t="s">
        <v>128</v>
      </c>
      <c r="F40" s="98"/>
      <c r="G40" s="98">
        <v>420</v>
      </c>
      <c r="H40" s="98">
        <f>SUM(F40:G40)+H39</f>
        <v>5795.61</v>
      </c>
    </row>
    <row r="41" spans="2:8" ht="13.5" hidden="1" outlineLevel="1" thickBot="1">
      <c r="B41" s="161">
        <v>37495</v>
      </c>
      <c r="C41" s="162"/>
      <c r="D41" s="163"/>
      <c r="E41" s="164" t="s">
        <v>128</v>
      </c>
      <c r="F41" s="165"/>
      <c r="G41" s="165">
        <v>69.1</v>
      </c>
      <c r="H41" s="165">
        <f>SUM(F41:G41)+H40</f>
        <v>5864.71</v>
      </c>
    </row>
    <row r="42" spans="2:8" ht="12.75" collapsed="1">
      <c r="B42" s="215" t="s">
        <v>134</v>
      </c>
      <c r="C42" s="125"/>
      <c r="D42" s="166"/>
      <c r="E42" s="91"/>
      <c r="F42" s="98"/>
      <c r="G42" s="98"/>
      <c r="H42" s="217">
        <f>H41</f>
        <v>5864.71</v>
      </c>
    </row>
    <row r="44" spans="2:8" ht="12.75">
      <c r="B44" s="4" t="s">
        <v>148</v>
      </c>
      <c r="C44" s="123"/>
      <c r="E44" s="2"/>
      <c r="F44" s="129"/>
      <c r="G44" s="129"/>
      <c r="H44" s="129"/>
    </row>
    <row r="45" spans="2:8" ht="12.75" hidden="1" outlineLevel="1">
      <c r="B45" s="120" t="s">
        <v>0</v>
      </c>
      <c r="C45" s="120" t="s">
        <v>130</v>
      </c>
      <c r="D45" s="121" t="s">
        <v>66</v>
      </c>
      <c r="E45" s="121" t="s">
        <v>131</v>
      </c>
      <c r="F45" s="121" t="s">
        <v>132</v>
      </c>
      <c r="G45" s="121" t="s">
        <v>133</v>
      </c>
      <c r="H45" s="121" t="s">
        <v>134</v>
      </c>
    </row>
    <row r="46" spans="2:8" ht="12.75" hidden="1" outlineLevel="1">
      <c r="B46" s="85"/>
      <c r="C46" s="125" t="s">
        <v>134</v>
      </c>
      <c r="D46" s="214"/>
      <c r="E46" s="83"/>
      <c r="F46" s="134"/>
      <c r="G46" s="134"/>
      <c r="H46" s="134">
        <f>H42</f>
        <v>5864.71</v>
      </c>
    </row>
    <row r="47" spans="2:8" ht="12.75" hidden="1" outlineLevel="1">
      <c r="B47" s="159">
        <v>37510</v>
      </c>
      <c r="C47" s="97" t="s">
        <v>137</v>
      </c>
      <c r="D47" s="166">
        <v>650</v>
      </c>
      <c r="E47" s="156" t="s">
        <v>230</v>
      </c>
      <c r="F47" s="98">
        <v>-1003.31</v>
      </c>
      <c r="G47" s="98"/>
      <c r="H47" s="98">
        <f>SUM(F47:G47)+H46</f>
        <v>4861.4</v>
      </c>
    </row>
    <row r="48" spans="2:8" ht="12.75" hidden="1" outlineLevel="1">
      <c r="B48" s="159">
        <v>37518</v>
      </c>
      <c r="C48" s="97"/>
      <c r="D48" s="166"/>
      <c r="E48" s="91" t="s">
        <v>232</v>
      </c>
      <c r="F48" s="98">
        <v>-50</v>
      </c>
      <c r="G48" s="98"/>
      <c r="H48" s="98">
        <f>SUM(F48:G48)+H47</f>
        <v>4811.4</v>
      </c>
    </row>
    <row r="49" spans="2:8" ht="13.5" hidden="1" outlineLevel="1" thickBot="1">
      <c r="B49" s="161">
        <v>37529</v>
      </c>
      <c r="C49" s="162"/>
      <c r="D49" s="163"/>
      <c r="E49" s="164" t="s">
        <v>59</v>
      </c>
      <c r="F49" s="165"/>
      <c r="G49" s="165">
        <v>1.32</v>
      </c>
      <c r="H49" s="165">
        <f>SUM(F49:G49)+H48</f>
        <v>4812.719999999999</v>
      </c>
    </row>
    <row r="50" spans="2:8" ht="12.75" collapsed="1">
      <c r="B50" s="215" t="s">
        <v>134</v>
      </c>
      <c r="C50" s="125"/>
      <c r="D50" s="166"/>
      <c r="E50" s="91"/>
      <c r="F50" s="98"/>
      <c r="G50" s="98"/>
      <c r="H50" s="217">
        <f>H49</f>
        <v>4812.719999999999</v>
      </c>
    </row>
    <row r="52" spans="2:8" ht="12.75">
      <c r="B52" s="4" t="s">
        <v>154</v>
      </c>
      <c r="C52" s="123"/>
      <c r="E52" s="2"/>
      <c r="F52" s="129"/>
      <c r="G52" s="129"/>
      <c r="H52" s="129"/>
    </row>
    <row r="53" spans="2:8" ht="12.75" hidden="1" outlineLevel="1">
      <c r="B53" s="120" t="s">
        <v>0</v>
      </c>
      <c r="C53" s="120" t="s">
        <v>130</v>
      </c>
      <c r="D53" s="121" t="s">
        <v>66</v>
      </c>
      <c r="E53" s="121" t="s">
        <v>131</v>
      </c>
      <c r="F53" s="121" t="s">
        <v>132</v>
      </c>
      <c r="G53" s="121" t="s">
        <v>133</v>
      </c>
      <c r="H53" s="121" t="s">
        <v>134</v>
      </c>
    </row>
    <row r="54" spans="2:8" ht="12.75" hidden="1" outlineLevel="1">
      <c r="B54" s="85"/>
      <c r="C54" s="125" t="s">
        <v>134</v>
      </c>
      <c r="D54" s="214"/>
      <c r="E54" s="83"/>
      <c r="F54" s="134"/>
      <c r="G54" s="134"/>
      <c r="H54" s="134">
        <f>H50</f>
        <v>4812.719999999999</v>
      </c>
    </row>
    <row r="55" spans="2:8" ht="12.75" hidden="1" outlineLevel="1">
      <c r="B55" s="159">
        <v>37532</v>
      </c>
      <c r="C55" s="97"/>
      <c r="D55" s="166"/>
      <c r="E55" s="91" t="s">
        <v>233</v>
      </c>
      <c r="F55" s="98"/>
      <c r="G55" s="98">
        <v>5.43</v>
      </c>
      <c r="H55" s="98">
        <f>SUM(F55:G55)+H54</f>
        <v>4818.15</v>
      </c>
    </row>
    <row r="56" spans="2:8" ht="12.75" hidden="1" outlineLevel="1">
      <c r="B56" s="159">
        <v>37536</v>
      </c>
      <c r="C56" s="97"/>
      <c r="D56" s="166"/>
      <c r="E56" s="91" t="s">
        <v>232</v>
      </c>
      <c r="F56" s="98">
        <v>-200</v>
      </c>
      <c r="G56" s="98"/>
      <c r="H56" s="98">
        <f>SUM(F56:G56)+H55</f>
        <v>4618.15</v>
      </c>
    </row>
    <row r="57" spans="2:8" ht="13.5" hidden="1" outlineLevel="1" thickBot="1">
      <c r="B57" s="161">
        <v>37538</v>
      </c>
      <c r="C57" s="162" t="s">
        <v>137</v>
      </c>
      <c r="D57" s="163">
        <v>250</v>
      </c>
      <c r="E57" s="164" t="s">
        <v>118</v>
      </c>
      <c r="F57" s="165">
        <v>-988.36</v>
      </c>
      <c r="G57" s="165"/>
      <c r="H57" s="165">
        <f>SUM(F57:G57)+H56</f>
        <v>3629.7899999999995</v>
      </c>
    </row>
    <row r="58" spans="2:8" ht="12.75" collapsed="1">
      <c r="B58" s="215" t="s">
        <v>134</v>
      </c>
      <c r="C58" s="125"/>
      <c r="D58" s="166"/>
      <c r="E58" s="91"/>
      <c r="F58" s="98"/>
      <c r="G58" s="98"/>
      <c r="H58" s="217">
        <f>H57</f>
        <v>3629.7899999999995</v>
      </c>
    </row>
    <row r="60" spans="2:8" ht="12.75">
      <c r="B60" s="4" t="s">
        <v>163</v>
      </c>
      <c r="C60" s="123"/>
      <c r="E60" s="2"/>
      <c r="F60" s="129"/>
      <c r="G60" s="129"/>
      <c r="H60" s="129"/>
    </row>
    <row r="61" spans="2:8" ht="12.75" hidden="1" outlineLevel="1">
      <c r="B61" s="120" t="s">
        <v>0</v>
      </c>
      <c r="C61" s="120" t="s">
        <v>130</v>
      </c>
      <c r="D61" s="121" t="s">
        <v>66</v>
      </c>
      <c r="E61" s="121" t="s">
        <v>131</v>
      </c>
      <c r="F61" s="121" t="s">
        <v>132</v>
      </c>
      <c r="G61" s="121" t="s">
        <v>133</v>
      </c>
      <c r="H61" s="121" t="s">
        <v>134</v>
      </c>
    </row>
    <row r="62" spans="2:8" ht="12.75" hidden="1" outlineLevel="1">
      <c r="B62" s="85"/>
      <c r="C62" s="125" t="s">
        <v>134</v>
      </c>
      <c r="D62" s="214"/>
      <c r="E62" s="83"/>
      <c r="F62" s="134"/>
      <c r="G62" s="134"/>
      <c r="H62" s="134">
        <f>H58</f>
        <v>3629.7899999999995</v>
      </c>
    </row>
    <row r="63" spans="2:8" ht="12.75" hidden="1" outlineLevel="1">
      <c r="B63" s="159">
        <v>37572</v>
      </c>
      <c r="C63" s="97"/>
      <c r="D63" s="166"/>
      <c r="E63" s="91" t="s">
        <v>216</v>
      </c>
      <c r="F63" s="98"/>
      <c r="G63" s="98">
        <v>14.14</v>
      </c>
      <c r="H63" s="98">
        <f>SUM(F63:G63)+H62</f>
        <v>3643.9299999999994</v>
      </c>
    </row>
    <row r="64" spans="2:8" ht="13.5" hidden="1" outlineLevel="1" thickBot="1">
      <c r="B64" s="161">
        <v>37580</v>
      </c>
      <c r="C64" s="162"/>
      <c r="D64" s="163"/>
      <c r="E64" s="164" t="s">
        <v>128</v>
      </c>
      <c r="F64" s="165"/>
      <c r="G64" s="165">
        <v>395.12</v>
      </c>
      <c r="H64" s="165">
        <f>SUM(F64:G64)+H63</f>
        <v>4039.0499999999993</v>
      </c>
    </row>
    <row r="65" spans="2:8" ht="12.75" collapsed="1">
      <c r="B65" s="215" t="s">
        <v>134</v>
      </c>
      <c r="C65" s="125"/>
      <c r="D65" s="166"/>
      <c r="E65" s="91"/>
      <c r="F65" s="98"/>
      <c r="G65" s="98"/>
      <c r="H65" s="217">
        <f>H64</f>
        <v>4039.0499999999993</v>
      </c>
    </row>
    <row r="67" spans="2:8" ht="12.75">
      <c r="B67" s="4" t="s">
        <v>167</v>
      </c>
      <c r="C67" s="123"/>
      <c r="E67" s="2"/>
      <c r="F67" s="129"/>
      <c r="G67" s="129"/>
      <c r="H67" s="129"/>
    </row>
    <row r="68" spans="2:8" ht="12.75" hidden="1" outlineLevel="1">
      <c r="B68" s="120" t="s">
        <v>0</v>
      </c>
      <c r="C68" s="120" t="s">
        <v>130</v>
      </c>
      <c r="D68" s="121" t="s">
        <v>66</v>
      </c>
      <c r="E68" s="121" t="s">
        <v>131</v>
      </c>
      <c r="F68" s="121" t="s">
        <v>132</v>
      </c>
      <c r="G68" s="121" t="s">
        <v>133</v>
      </c>
      <c r="H68" s="121" t="s">
        <v>134</v>
      </c>
    </row>
    <row r="69" spans="2:8" ht="12.75" hidden="1" outlineLevel="1">
      <c r="B69" s="85"/>
      <c r="C69" s="125" t="s">
        <v>134</v>
      </c>
      <c r="D69" s="214"/>
      <c r="E69" s="83"/>
      <c r="F69" s="134"/>
      <c r="G69" s="134"/>
      <c r="H69" s="134">
        <f>H65</f>
        <v>4039.0499999999993</v>
      </c>
    </row>
    <row r="70" spans="2:8" ht="12.75" hidden="1" outlineLevel="1">
      <c r="B70" s="159">
        <v>37593</v>
      </c>
      <c r="C70" s="97"/>
      <c r="D70" s="166"/>
      <c r="E70" s="91" t="s">
        <v>226</v>
      </c>
      <c r="F70" s="98"/>
      <c r="G70" s="98">
        <v>13.97</v>
      </c>
      <c r="H70" s="98">
        <f>SUM(F70:G70)+H69</f>
        <v>4053.019999999999</v>
      </c>
    </row>
    <row r="71" spans="2:8" ht="13.5" hidden="1" outlineLevel="1" thickBot="1">
      <c r="B71" s="161">
        <v>37596</v>
      </c>
      <c r="C71" s="162"/>
      <c r="D71" s="163"/>
      <c r="E71" s="164" t="s">
        <v>258</v>
      </c>
      <c r="F71" s="165">
        <v>-4053.02</v>
      </c>
      <c r="G71" s="165"/>
      <c r="H71" s="165">
        <f>SUM(F71:G71)+H70</f>
        <v>0</v>
      </c>
    </row>
    <row r="72" spans="2:8" ht="12.75" collapsed="1">
      <c r="B72" s="215" t="s">
        <v>134</v>
      </c>
      <c r="C72" s="125"/>
      <c r="D72" s="166"/>
      <c r="E72" s="91"/>
      <c r="F72" s="98"/>
      <c r="G72" s="98"/>
      <c r="H72" s="217">
        <f>H71</f>
        <v>0</v>
      </c>
    </row>
    <row r="74" spans="2:8" ht="12.75">
      <c r="B74" s="4" t="s">
        <v>175</v>
      </c>
      <c r="C74" s="123"/>
      <c r="E74" s="2"/>
      <c r="F74" s="129"/>
      <c r="G74" s="129"/>
      <c r="H74" s="129"/>
    </row>
    <row r="75" spans="2:8" ht="12.75" hidden="1" outlineLevel="1">
      <c r="B75" s="120" t="s">
        <v>0</v>
      </c>
      <c r="C75" s="120" t="s">
        <v>130</v>
      </c>
      <c r="D75" s="121" t="s">
        <v>66</v>
      </c>
      <c r="E75" s="121" t="s">
        <v>131</v>
      </c>
      <c r="F75" s="121" t="s">
        <v>132</v>
      </c>
      <c r="G75" s="121" t="s">
        <v>133</v>
      </c>
      <c r="H75" s="121" t="s">
        <v>134</v>
      </c>
    </row>
    <row r="76" spans="2:8" ht="12.75" hidden="1" outlineLevel="1">
      <c r="B76" s="85"/>
      <c r="C76" s="125" t="s">
        <v>134</v>
      </c>
      <c r="D76" s="214"/>
      <c r="E76" s="83"/>
      <c r="F76" s="134"/>
      <c r="G76" s="134"/>
      <c r="H76" s="134">
        <f>H72</f>
        <v>0</v>
      </c>
    </row>
    <row r="77" spans="2:8" ht="12.75" hidden="1" outlineLevel="1">
      <c r="B77" s="159">
        <v>37637</v>
      </c>
      <c r="C77" s="97"/>
      <c r="D77" s="166"/>
      <c r="E77" s="91" t="s">
        <v>266</v>
      </c>
      <c r="F77" s="98"/>
      <c r="G77" s="98">
        <v>1000</v>
      </c>
      <c r="H77" s="98">
        <f>SUM(F77:G77)+H76</f>
        <v>1000</v>
      </c>
    </row>
    <row r="78" spans="2:8" ht="12.75" hidden="1" outlineLevel="1">
      <c r="B78" s="159">
        <v>37642</v>
      </c>
      <c r="C78" s="97" t="s">
        <v>137</v>
      </c>
      <c r="D78" s="166">
        <v>4295</v>
      </c>
      <c r="E78" s="91" t="s">
        <v>159</v>
      </c>
      <c r="F78" s="98">
        <v>-999.86</v>
      </c>
      <c r="G78" s="98"/>
      <c r="H78" s="98">
        <f>SUM(F78:G78)+H77</f>
        <v>0.13999999999998636</v>
      </c>
    </row>
    <row r="79" spans="2:8" ht="13.5" hidden="1" outlineLevel="1" thickBot="1">
      <c r="B79" s="161">
        <v>37651</v>
      </c>
      <c r="C79" s="162"/>
      <c r="D79" s="163"/>
      <c r="E79" s="164" t="s">
        <v>266</v>
      </c>
      <c r="F79" s="165"/>
      <c r="G79" s="165">
        <v>999.86</v>
      </c>
      <c r="H79" s="165">
        <f>SUM(F79:G79)+H78</f>
        <v>1000</v>
      </c>
    </row>
    <row r="80" spans="2:8" ht="12.75" collapsed="1">
      <c r="B80" s="215" t="s">
        <v>134</v>
      </c>
      <c r="C80" s="125"/>
      <c r="D80" s="166"/>
      <c r="E80" s="91"/>
      <c r="F80" s="98"/>
      <c r="G80" s="98"/>
      <c r="H80" s="217">
        <f>H79</f>
        <v>1000</v>
      </c>
    </row>
    <row r="82" spans="2:8" ht="12.75">
      <c r="B82" s="4" t="s">
        <v>177</v>
      </c>
      <c r="C82" s="123"/>
      <c r="E82" s="2"/>
      <c r="F82" s="129"/>
      <c r="G82" s="129"/>
      <c r="H82" s="129"/>
    </row>
    <row r="83" spans="2:8" ht="12.75" hidden="1" outlineLevel="1">
      <c r="B83" s="120" t="s">
        <v>0</v>
      </c>
      <c r="C83" s="120" t="s">
        <v>130</v>
      </c>
      <c r="D83" s="121" t="s">
        <v>66</v>
      </c>
      <c r="E83" s="121" t="s">
        <v>131</v>
      </c>
      <c r="F83" s="121" t="s">
        <v>132</v>
      </c>
      <c r="G83" s="121" t="s">
        <v>133</v>
      </c>
      <c r="H83" s="121" t="s">
        <v>134</v>
      </c>
    </row>
    <row r="84" spans="2:8" ht="12.75" hidden="1" outlineLevel="1">
      <c r="B84" s="85"/>
      <c r="C84" s="125" t="s">
        <v>134</v>
      </c>
      <c r="D84" s="214"/>
      <c r="E84" s="83"/>
      <c r="F84" s="134"/>
      <c r="G84" s="134"/>
      <c r="H84" s="134">
        <f>H80</f>
        <v>1000</v>
      </c>
    </row>
    <row r="85" spans="2:8" ht="12.75" hidden="1" outlineLevel="1">
      <c r="B85" s="159">
        <v>37665</v>
      </c>
      <c r="C85" s="97" t="s">
        <v>137</v>
      </c>
      <c r="D85" s="166">
        <v>249</v>
      </c>
      <c r="E85" s="91" t="s">
        <v>270</v>
      </c>
      <c r="F85" s="98">
        <v>-499.98</v>
      </c>
      <c r="G85" s="98"/>
      <c r="H85" s="98">
        <f>SUM(F85:G85)+H84</f>
        <v>500.02</v>
      </c>
    </row>
    <row r="86" spans="2:8" ht="12.75" hidden="1" outlineLevel="1">
      <c r="B86" s="159">
        <v>37669</v>
      </c>
      <c r="C86" s="97"/>
      <c r="D86" s="166"/>
      <c r="E86" s="91" t="s">
        <v>266</v>
      </c>
      <c r="F86" s="98"/>
      <c r="G86" s="98">
        <v>500</v>
      </c>
      <c r="H86" s="98">
        <f>SUM(F86:G86)+H85</f>
        <v>1000.02</v>
      </c>
    </row>
    <row r="87" spans="2:8" ht="13.5" hidden="1" outlineLevel="1" thickBot="1">
      <c r="B87" s="161">
        <v>37680</v>
      </c>
      <c r="C87" s="162"/>
      <c r="D87" s="163"/>
      <c r="E87" s="164" t="s">
        <v>192</v>
      </c>
      <c r="F87" s="165"/>
      <c r="G87" s="165">
        <v>19.65</v>
      </c>
      <c r="H87" s="165">
        <f>SUM(F87:G87)+H86</f>
        <v>1019.67</v>
      </c>
    </row>
    <row r="88" spans="2:8" ht="12.75" collapsed="1">
      <c r="B88" s="215" t="s">
        <v>134</v>
      </c>
      <c r="C88" s="125"/>
      <c r="D88" s="166"/>
      <c r="E88" s="91"/>
      <c r="F88" s="98"/>
      <c r="G88" s="98"/>
      <c r="H88" s="217">
        <f>H87</f>
        <v>1019.67</v>
      </c>
    </row>
    <row r="90" spans="2:8" ht="12.75">
      <c r="B90" s="4" t="s">
        <v>182</v>
      </c>
      <c r="C90" s="123"/>
      <c r="E90" s="2"/>
      <c r="F90" s="129"/>
      <c r="G90" s="129"/>
      <c r="H90" s="129"/>
    </row>
    <row r="91" spans="2:8" ht="12.75" hidden="1" outlineLevel="1">
      <c r="B91" s="120" t="s">
        <v>0</v>
      </c>
      <c r="C91" s="120" t="s">
        <v>130</v>
      </c>
      <c r="D91" s="121" t="s">
        <v>66</v>
      </c>
      <c r="E91" s="121" t="s">
        <v>131</v>
      </c>
      <c r="F91" s="121" t="s">
        <v>132</v>
      </c>
      <c r="G91" s="121" t="s">
        <v>133</v>
      </c>
      <c r="H91" s="121" t="s">
        <v>134</v>
      </c>
    </row>
    <row r="92" spans="2:8" ht="12.75" hidden="1" outlineLevel="1">
      <c r="B92" s="85"/>
      <c r="C92" s="125" t="s">
        <v>134</v>
      </c>
      <c r="D92" s="214"/>
      <c r="E92" s="83"/>
      <c r="F92" s="134"/>
      <c r="G92" s="134"/>
      <c r="H92" s="134">
        <f>H88</f>
        <v>1019.67</v>
      </c>
    </row>
    <row r="93" spans="2:8" ht="12.75" hidden="1" outlineLevel="1">
      <c r="B93" s="159">
        <v>37680</v>
      </c>
      <c r="C93" s="125"/>
      <c r="D93" s="214"/>
      <c r="E93" s="91" t="s">
        <v>258</v>
      </c>
      <c r="F93" s="134">
        <v>-19.67</v>
      </c>
      <c r="G93" s="134"/>
      <c r="H93" s="98">
        <f aca="true" t="shared" si="0" ref="H93:H100">SUM(F93:G93)+H92</f>
        <v>1000</v>
      </c>
    </row>
    <row r="94" spans="2:8" ht="12.75" hidden="1" outlineLevel="1">
      <c r="B94" s="159">
        <v>37684</v>
      </c>
      <c r="C94" s="97" t="s">
        <v>280</v>
      </c>
      <c r="D94" s="166">
        <v>182</v>
      </c>
      <c r="E94" s="91" t="s">
        <v>274</v>
      </c>
      <c r="F94" s="98">
        <v>-499.08</v>
      </c>
      <c r="G94" s="98"/>
      <c r="H94" s="98">
        <f t="shared" si="0"/>
        <v>500.92</v>
      </c>
    </row>
    <row r="95" spans="2:8" ht="12.75" hidden="1" outlineLevel="1">
      <c r="B95" s="159">
        <v>37687</v>
      </c>
      <c r="C95" s="97" t="s">
        <v>136</v>
      </c>
      <c r="D95" s="166">
        <v>202</v>
      </c>
      <c r="E95" s="91" t="s">
        <v>275</v>
      </c>
      <c r="F95" s="98"/>
      <c r="G95" s="98">
        <v>610.72</v>
      </c>
      <c r="H95" s="98">
        <f t="shared" si="0"/>
        <v>1111.64</v>
      </c>
    </row>
    <row r="96" spans="2:8" ht="12.75" hidden="1" outlineLevel="1">
      <c r="B96" s="159">
        <v>37690</v>
      </c>
      <c r="C96" s="97"/>
      <c r="D96" s="166"/>
      <c r="E96" s="91" t="s">
        <v>266</v>
      </c>
      <c r="F96" s="98"/>
      <c r="G96" s="98">
        <v>499.08</v>
      </c>
      <c r="H96" s="98">
        <f t="shared" si="0"/>
        <v>1610.72</v>
      </c>
    </row>
    <row r="97" spans="2:8" ht="12.75" hidden="1" outlineLevel="1">
      <c r="B97" s="159">
        <v>37691</v>
      </c>
      <c r="C97" s="97"/>
      <c r="D97" s="166"/>
      <c r="E97" s="91" t="s">
        <v>276</v>
      </c>
      <c r="F97" s="98"/>
      <c r="G97" s="98">
        <v>18.2</v>
      </c>
      <c r="H97" s="98">
        <f t="shared" si="0"/>
        <v>1628.92</v>
      </c>
    </row>
    <row r="98" spans="2:8" ht="12.75" hidden="1" outlineLevel="1">
      <c r="B98" s="159">
        <v>37692</v>
      </c>
      <c r="C98" s="97" t="s">
        <v>136</v>
      </c>
      <c r="D98" s="166">
        <v>249</v>
      </c>
      <c r="E98" s="91" t="s">
        <v>270</v>
      </c>
      <c r="F98" s="98"/>
      <c r="G98" s="98">
        <v>470.78</v>
      </c>
      <c r="H98" s="98">
        <f t="shared" si="0"/>
        <v>2099.7</v>
      </c>
    </row>
    <row r="99" spans="2:8" ht="12.75" hidden="1" outlineLevel="1">
      <c r="B99" s="159">
        <v>37692</v>
      </c>
      <c r="C99" s="97" t="s">
        <v>136</v>
      </c>
      <c r="D99" s="166">
        <v>1747</v>
      </c>
      <c r="E99" s="91" t="s">
        <v>279</v>
      </c>
      <c r="F99" s="98"/>
      <c r="G99" s="98">
        <v>486.03</v>
      </c>
      <c r="H99" s="98">
        <f t="shared" si="0"/>
        <v>2585.7299999999996</v>
      </c>
    </row>
    <row r="100" spans="2:8" ht="12.75" hidden="1" outlineLevel="1">
      <c r="B100" s="159">
        <v>37694</v>
      </c>
      <c r="C100" s="97"/>
      <c r="D100" s="166"/>
      <c r="E100" s="91" t="s">
        <v>266</v>
      </c>
      <c r="F100" s="98"/>
      <c r="G100" s="98">
        <v>2887.71</v>
      </c>
      <c r="H100" s="98">
        <f t="shared" si="0"/>
        <v>5473.44</v>
      </c>
    </row>
    <row r="101" spans="2:8" ht="12.75" hidden="1" outlineLevel="1">
      <c r="B101" s="159">
        <v>37699</v>
      </c>
      <c r="C101" s="97" t="s">
        <v>280</v>
      </c>
      <c r="D101" s="166">
        <v>526</v>
      </c>
      <c r="E101" s="91" t="s">
        <v>61</v>
      </c>
      <c r="F101" s="98">
        <v>-998.36</v>
      </c>
      <c r="G101" s="98"/>
      <c r="H101" s="98">
        <f>SUM(F101:G101)+H100</f>
        <v>4475.08</v>
      </c>
    </row>
    <row r="102" spans="2:8" ht="12.75" hidden="1" outlineLevel="1">
      <c r="B102" s="159">
        <v>37699</v>
      </c>
      <c r="C102" s="97" t="s">
        <v>280</v>
      </c>
      <c r="D102" s="166">
        <v>272</v>
      </c>
      <c r="E102" s="91" t="s">
        <v>193</v>
      </c>
      <c r="F102" s="98">
        <v>-997.33</v>
      </c>
      <c r="G102" s="98"/>
      <c r="H102" s="98">
        <f>SUM(F102:G102)+H101</f>
        <v>3477.75</v>
      </c>
    </row>
    <row r="103" spans="2:8" ht="13.5" hidden="1" outlineLevel="1" thickBot="1">
      <c r="B103" s="161">
        <v>37699</v>
      </c>
      <c r="C103" s="162" t="s">
        <v>136</v>
      </c>
      <c r="D103" s="163">
        <v>5090</v>
      </c>
      <c r="E103" s="164" t="s">
        <v>152</v>
      </c>
      <c r="F103" s="165"/>
      <c r="G103" s="165">
        <v>90.23</v>
      </c>
      <c r="H103" s="165">
        <f>SUM(F103:G103)+H102</f>
        <v>3567.98</v>
      </c>
    </row>
    <row r="104" spans="2:8" ht="12.75" collapsed="1">
      <c r="B104" s="215" t="s">
        <v>134</v>
      </c>
      <c r="C104" s="125"/>
      <c r="D104" s="166"/>
      <c r="E104" s="91"/>
      <c r="F104" s="98"/>
      <c r="G104" s="98"/>
      <c r="H104" s="217">
        <f>H103</f>
        <v>3567.98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zoomScale="85" zoomScaleNormal="85" workbookViewId="0" topLeftCell="A14">
      <selection activeCell="F113" sqref="F113"/>
    </sheetView>
  </sheetViews>
  <sheetFormatPr defaultColWidth="9.140625" defaultRowHeight="12.75" outlineLevelRow="1"/>
  <cols>
    <col min="1" max="1" width="0.85546875" style="0" customWidth="1"/>
    <col min="2" max="2" width="9.8515625" style="0" bestFit="1" customWidth="1"/>
    <col min="3" max="3" width="7.7109375" style="122" customWidth="1"/>
    <col min="4" max="4" width="8.7109375" style="126" bestFit="1" customWidth="1"/>
    <col min="5" max="5" width="20.140625" style="0" bestFit="1" customWidth="1"/>
    <col min="6" max="6" width="8.421875" style="122" bestFit="1" customWidth="1"/>
    <col min="7" max="7" width="8.8515625" style="122" bestFit="1" customWidth="1"/>
    <col min="8" max="8" width="9.8515625" style="122" bestFit="1" customWidth="1"/>
  </cols>
  <sheetData>
    <row r="1" spans="4:8" ht="12.75">
      <c r="D1"/>
      <c r="F1"/>
      <c r="G1"/>
      <c r="H1"/>
    </row>
    <row r="2" spans="2:8" ht="12.75">
      <c r="B2" s="282" t="s">
        <v>138</v>
      </c>
      <c r="C2" s="282"/>
      <c r="D2" s="2"/>
      <c r="E2" s="2"/>
      <c r="F2" s="2"/>
      <c r="G2" s="2"/>
      <c r="H2" s="2"/>
    </row>
    <row r="3" spans="2:8" ht="12.75" customHeight="1" hidden="1" outlineLevel="1">
      <c r="B3" s="120" t="s">
        <v>0</v>
      </c>
      <c r="C3" s="120" t="s">
        <v>130</v>
      </c>
      <c r="D3" s="121" t="s">
        <v>66</v>
      </c>
      <c r="E3" s="121" t="s">
        <v>131</v>
      </c>
      <c r="F3" s="121" t="s">
        <v>132</v>
      </c>
      <c r="G3" s="121" t="s">
        <v>133</v>
      </c>
      <c r="H3" s="121" t="s">
        <v>134</v>
      </c>
    </row>
    <row r="4" spans="3:8" ht="12.75" hidden="1" outlineLevel="1">
      <c r="C4" s="122" t="s">
        <v>134</v>
      </c>
      <c r="D4" s="2"/>
      <c r="E4" s="2"/>
      <c r="F4" s="2"/>
      <c r="G4" s="129"/>
      <c r="H4" s="129">
        <v>0.75</v>
      </c>
    </row>
    <row r="5" spans="2:8" ht="12.75" hidden="1" outlineLevel="1">
      <c r="B5" s="46">
        <v>36985</v>
      </c>
      <c r="C5" s="122" t="s">
        <v>136</v>
      </c>
      <c r="D5" s="126">
        <v>592</v>
      </c>
      <c r="E5" s="2" t="s">
        <v>61</v>
      </c>
      <c r="F5" s="2"/>
      <c r="G5" s="129">
        <v>1447.46</v>
      </c>
      <c r="H5" s="129">
        <f>SUM(F5:G5)+H4</f>
        <v>1448.21</v>
      </c>
    </row>
    <row r="6" spans="2:8" ht="12.75" hidden="1" outlineLevel="1">
      <c r="B6" s="46">
        <v>37353</v>
      </c>
      <c r="E6" s="2" t="s">
        <v>139</v>
      </c>
      <c r="F6" s="2"/>
      <c r="G6" s="129">
        <v>0.05</v>
      </c>
      <c r="H6" s="129">
        <f>SUM(F6:G6)+H5</f>
        <v>1448.26</v>
      </c>
    </row>
    <row r="7" spans="2:8" ht="13.5" hidden="1" outlineLevel="1" thickBot="1">
      <c r="B7" s="132">
        <v>37357</v>
      </c>
      <c r="C7" s="130"/>
      <c r="D7" s="127"/>
      <c r="E7" s="5" t="s">
        <v>135</v>
      </c>
      <c r="F7" s="6">
        <v>-1400</v>
      </c>
      <c r="G7" s="131"/>
      <c r="H7" s="131">
        <f>SUM(F7:G7)+H6</f>
        <v>48.25999999999999</v>
      </c>
    </row>
    <row r="8" spans="2:8" ht="12.75" collapsed="1">
      <c r="B8" s="4" t="s">
        <v>134</v>
      </c>
      <c r="E8" s="2"/>
      <c r="F8" s="129"/>
      <c r="G8" s="129"/>
      <c r="H8" s="136">
        <f>H7</f>
        <v>48.25999999999999</v>
      </c>
    </row>
    <row r="9" spans="5:8" ht="12.75">
      <c r="E9" s="2"/>
      <c r="F9" s="2"/>
      <c r="G9" s="2"/>
      <c r="H9" s="2"/>
    </row>
    <row r="10" spans="2:8" ht="12.75">
      <c r="B10" s="282" t="s">
        <v>140</v>
      </c>
      <c r="C10" s="282"/>
      <c r="E10" s="2"/>
      <c r="F10" s="2"/>
      <c r="G10" s="2"/>
      <c r="H10" s="2"/>
    </row>
    <row r="11" spans="2:8" ht="12.75" customHeight="1" hidden="1" outlineLevel="1">
      <c r="B11" s="120" t="s">
        <v>0</v>
      </c>
      <c r="C11" s="120" t="s">
        <v>130</v>
      </c>
      <c r="D11" s="121" t="s">
        <v>66</v>
      </c>
      <c r="E11" s="121" t="s">
        <v>131</v>
      </c>
      <c r="F11" s="121" t="s">
        <v>132</v>
      </c>
      <c r="G11" s="121" t="s">
        <v>133</v>
      </c>
      <c r="H11" s="121" t="s">
        <v>134</v>
      </c>
    </row>
    <row r="12" spans="3:8" ht="12.75" hidden="1" outlineLevel="1">
      <c r="C12" s="122" t="s">
        <v>134</v>
      </c>
      <c r="D12" s="2"/>
      <c r="F12" s="129"/>
      <c r="G12" s="129"/>
      <c r="H12" s="129">
        <f>H8</f>
        <v>48.25999999999999</v>
      </c>
    </row>
    <row r="13" spans="2:8" ht="13.5" hidden="1" outlineLevel="1" thickBot="1">
      <c r="B13" s="132">
        <v>37407</v>
      </c>
      <c r="C13" s="130"/>
      <c r="D13" s="127">
        <v>280</v>
      </c>
      <c r="E13" s="6" t="s">
        <v>204</v>
      </c>
      <c r="F13" s="131"/>
      <c r="G13" s="131">
        <v>20.16</v>
      </c>
      <c r="H13" s="131">
        <f>SUM(F13:G13)+H12</f>
        <v>68.41999999999999</v>
      </c>
    </row>
    <row r="14" spans="2:8" ht="12.75" collapsed="1">
      <c r="B14" s="4" t="s">
        <v>134</v>
      </c>
      <c r="E14" s="2"/>
      <c r="F14" s="129"/>
      <c r="G14" s="129"/>
      <c r="H14" s="136">
        <f>H13</f>
        <v>68.41999999999999</v>
      </c>
    </row>
    <row r="15" spans="5:8" ht="12.75">
      <c r="E15" s="2"/>
      <c r="F15" s="129"/>
      <c r="G15" s="129"/>
      <c r="H15" s="129"/>
    </row>
    <row r="16" spans="2:8" ht="12.75">
      <c r="B16" s="4" t="s">
        <v>141</v>
      </c>
      <c r="C16" s="123"/>
      <c r="E16" s="2"/>
      <c r="F16" s="129"/>
      <c r="G16" s="129"/>
      <c r="H16" s="129"/>
    </row>
    <row r="17" spans="2:8" ht="12.75" hidden="1" outlineLevel="1">
      <c r="B17" s="120" t="s">
        <v>0</v>
      </c>
      <c r="C17" s="120" t="s">
        <v>130</v>
      </c>
      <c r="D17" s="121" t="s">
        <v>66</v>
      </c>
      <c r="E17" s="121" t="s">
        <v>131</v>
      </c>
      <c r="F17" s="121" t="s">
        <v>132</v>
      </c>
      <c r="G17" s="121" t="s">
        <v>133</v>
      </c>
      <c r="H17" s="121" t="s">
        <v>134</v>
      </c>
    </row>
    <row r="18" spans="3:8" ht="12.75" hidden="1" outlineLevel="1">
      <c r="C18" s="122" t="s">
        <v>134</v>
      </c>
      <c r="D18" s="2"/>
      <c r="F18" s="129"/>
      <c r="G18" s="129"/>
      <c r="H18" s="129">
        <f>H14</f>
        <v>68.41999999999999</v>
      </c>
    </row>
    <row r="19" spans="2:8" ht="12.75" customHeight="1" hidden="1" outlineLevel="1">
      <c r="B19" s="46">
        <v>37435</v>
      </c>
      <c r="D19" s="126">
        <v>28</v>
      </c>
      <c r="E19" s="8" t="s">
        <v>217</v>
      </c>
      <c r="F19" s="129"/>
      <c r="G19" s="129">
        <v>0.56</v>
      </c>
      <c r="H19" s="129">
        <f>SUM(F19:G19)+H18</f>
        <v>68.97999999999999</v>
      </c>
    </row>
    <row r="20" spans="2:8" ht="13.5" hidden="1" outlineLevel="1" thickBot="1">
      <c r="B20" s="132">
        <v>37437</v>
      </c>
      <c r="C20" s="130"/>
      <c r="D20" s="127"/>
      <c r="E20" s="6" t="s">
        <v>139</v>
      </c>
      <c r="F20" s="131"/>
      <c r="G20" s="131">
        <v>0.04</v>
      </c>
      <c r="H20" s="131">
        <f>SUM(F20:G20)+H19</f>
        <v>69.02</v>
      </c>
    </row>
    <row r="21" spans="2:8" ht="12.75" collapsed="1">
      <c r="B21" s="4" t="s">
        <v>134</v>
      </c>
      <c r="E21" s="2"/>
      <c r="F21" s="129"/>
      <c r="G21" s="129"/>
      <c r="H21" s="136">
        <f>H20</f>
        <v>69.02</v>
      </c>
    </row>
    <row r="22" spans="5:8" ht="12.75">
      <c r="E22" s="2"/>
      <c r="F22" s="129"/>
      <c r="G22" s="129"/>
      <c r="H22" s="129"/>
    </row>
    <row r="23" spans="2:8" ht="12.75">
      <c r="B23" s="282" t="s">
        <v>142</v>
      </c>
      <c r="C23" s="282"/>
      <c r="E23" s="2"/>
      <c r="F23" s="129"/>
      <c r="G23" s="129"/>
      <c r="H23" s="129"/>
    </row>
    <row r="24" spans="2:8" ht="12.75" hidden="1" outlineLevel="1">
      <c r="B24" s="120" t="s">
        <v>0</v>
      </c>
      <c r="C24" s="120" t="s">
        <v>130</v>
      </c>
      <c r="D24" s="121" t="s">
        <v>66</v>
      </c>
      <c r="E24" s="121" t="s">
        <v>131</v>
      </c>
      <c r="F24" s="121" t="s">
        <v>132</v>
      </c>
      <c r="G24" s="121" t="s">
        <v>133</v>
      </c>
      <c r="H24" s="121" t="s">
        <v>134</v>
      </c>
    </row>
    <row r="25" spans="3:8" ht="12.75" hidden="1" outlineLevel="1">
      <c r="C25" s="122" t="s">
        <v>134</v>
      </c>
      <c r="E25" s="2"/>
      <c r="F25" s="129"/>
      <c r="G25" s="129"/>
      <c r="H25" s="129">
        <f>H21</f>
        <v>69.02</v>
      </c>
    </row>
    <row r="26" spans="2:8" ht="13.5" hidden="1" outlineLevel="1" thickBot="1">
      <c r="B26" s="132">
        <v>37438</v>
      </c>
      <c r="C26" s="130"/>
      <c r="D26" s="127">
        <v>2</v>
      </c>
      <c r="E26" s="6" t="s">
        <v>143</v>
      </c>
      <c r="F26" s="131"/>
      <c r="G26" s="131">
        <v>0.08</v>
      </c>
      <c r="H26" s="131">
        <f>SUM(F26:G26)+H25</f>
        <v>69.1</v>
      </c>
    </row>
    <row r="27" spans="2:8" ht="12.75" collapsed="1">
      <c r="B27" s="4" t="s">
        <v>134</v>
      </c>
      <c r="E27" s="2"/>
      <c r="F27" s="129"/>
      <c r="G27" s="129"/>
      <c r="H27" s="136">
        <f>H26</f>
        <v>69.1</v>
      </c>
    </row>
    <row r="28" spans="2:8" ht="12.75">
      <c r="B28" s="4"/>
      <c r="E28" s="2"/>
      <c r="F28" s="129"/>
      <c r="G28" s="129"/>
      <c r="H28" s="129"/>
    </row>
    <row r="29" spans="2:8" ht="12.75">
      <c r="B29" s="4" t="s">
        <v>144</v>
      </c>
      <c r="C29" s="123"/>
      <c r="E29" s="2"/>
      <c r="F29" s="129"/>
      <c r="G29" s="129"/>
      <c r="H29" s="129"/>
    </row>
    <row r="30" spans="2:8" ht="12.75" hidden="1" outlineLevel="1">
      <c r="B30" s="120" t="s">
        <v>0</v>
      </c>
      <c r="C30" s="120" t="s">
        <v>130</v>
      </c>
      <c r="D30" s="121" t="s">
        <v>66</v>
      </c>
      <c r="E30" s="121" t="s">
        <v>131</v>
      </c>
      <c r="F30" s="121" t="s">
        <v>132</v>
      </c>
      <c r="G30" s="121" t="s">
        <v>133</v>
      </c>
      <c r="H30" s="121" t="s">
        <v>134</v>
      </c>
    </row>
    <row r="31" spans="3:8" ht="12.75" hidden="1" outlineLevel="1">
      <c r="C31" s="122" t="s">
        <v>134</v>
      </c>
      <c r="E31" s="2"/>
      <c r="F31" s="129"/>
      <c r="G31" s="129"/>
      <c r="H31" s="129">
        <f>H27</f>
        <v>69.1</v>
      </c>
    </row>
    <row r="32" spans="2:8" ht="13.5" hidden="1" outlineLevel="1" thickBot="1">
      <c r="B32" s="132">
        <v>37482</v>
      </c>
      <c r="C32" s="130"/>
      <c r="D32" s="127"/>
      <c r="E32" s="5" t="s">
        <v>135</v>
      </c>
      <c r="F32" s="131">
        <v>-69.1</v>
      </c>
      <c r="G32" s="131"/>
      <c r="H32" s="131">
        <f>SUM(F32:G32)+H31</f>
        <v>0</v>
      </c>
    </row>
    <row r="33" spans="2:8" ht="12.75" collapsed="1">
      <c r="B33" s="4" t="s">
        <v>134</v>
      </c>
      <c r="D33" s="128"/>
      <c r="E33" s="8"/>
      <c r="F33" s="101"/>
      <c r="G33" s="101"/>
      <c r="H33" s="137">
        <f>H32</f>
        <v>0</v>
      </c>
    </row>
    <row r="35" spans="2:8" ht="12.75">
      <c r="B35" s="4" t="s">
        <v>148</v>
      </c>
      <c r="C35" s="123"/>
      <c r="E35" s="2"/>
      <c r="F35" s="129"/>
      <c r="G35" s="129"/>
      <c r="H35" s="129"/>
    </row>
    <row r="36" spans="2:8" ht="12.75" hidden="1" outlineLevel="1">
      <c r="B36" s="120" t="s">
        <v>0</v>
      </c>
      <c r="C36" s="120" t="s">
        <v>130</v>
      </c>
      <c r="D36" s="121" t="s">
        <v>66</v>
      </c>
      <c r="E36" s="121" t="s">
        <v>131</v>
      </c>
      <c r="F36" s="121" t="s">
        <v>132</v>
      </c>
      <c r="G36" s="121" t="s">
        <v>133</v>
      </c>
      <c r="H36" s="121" t="s">
        <v>134</v>
      </c>
    </row>
    <row r="37" spans="2:8" ht="13.5" hidden="1" outlineLevel="1" thickBot="1">
      <c r="B37" s="5"/>
      <c r="C37" s="130" t="s">
        <v>134</v>
      </c>
      <c r="D37" s="127"/>
      <c r="E37" s="6"/>
      <c r="F37" s="131"/>
      <c r="G37" s="131"/>
      <c r="H37" s="131">
        <f>H33</f>
        <v>0</v>
      </c>
    </row>
    <row r="38" spans="2:8" ht="12.75" collapsed="1">
      <c r="B38" s="4" t="s">
        <v>134</v>
      </c>
      <c r="D38" s="128"/>
      <c r="E38" s="8"/>
      <c r="F38" s="101"/>
      <c r="G38" s="101"/>
      <c r="H38" s="137">
        <f>H37</f>
        <v>0</v>
      </c>
    </row>
    <row r="40" spans="2:8" ht="12.75">
      <c r="B40" s="4" t="s">
        <v>154</v>
      </c>
      <c r="C40" s="123"/>
      <c r="E40" s="2"/>
      <c r="F40" s="129"/>
      <c r="G40" s="129"/>
      <c r="H40" s="129"/>
    </row>
    <row r="41" spans="2:8" ht="12.75" hidden="1" outlineLevel="1">
      <c r="B41" s="120" t="s">
        <v>0</v>
      </c>
      <c r="C41" s="120" t="s">
        <v>130</v>
      </c>
      <c r="D41" s="121" t="s">
        <v>66</v>
      </c>
      <c r="E41" s="121" t="s">
        <v>131</v>
      </c>
      <c r="F41" s="121" t="s">
        <v>132</v>
      </c>
      <c r="G41" s="121" t="s">
        <v>133</v>
      </c>
      <c r="H41" s="121" t="s">
        <v>134</v>
      </c>
    </row>
    <row r="42" spans="3:8" ht="12.75" hidden="1" outlineLevel="1">
      <c r="C42" s="122" t="s">
        <v>134</v>
      </c>
      <c r="E42" s="2"/>
      <c r="F42" s="129"/>
      <c r="G42" s="129"/>
      <c r="H42" s="129">
        <f>H38</f>
        <v>0</v>
      </c>
    </row>
    <row r="43" spans="2:8" ht="12.75" hidden="1" outlineLevel="1">
      <c r="B43" s="159">
        <v>37530</v>
      </c>
      <c r="C43" s="124"/>
      <c r="D43" s="128">
        <v>255</v>
      </c>
      <c r="E43" s="8" t="s">
        <v>155</v>
      </c>
      <c r="F43" s="101"/>
      <c r="G43" s="98">
        <v>45.39</v>
      </c>
      <c r="H43" s="101">
        <f>SUM(F43:G43)+H42</f>
        <v>45.39</v>
      </c>
    </row>
    <row r="44" spans="1:8" ht="12.75" hidden="1" outlineLevel="1">
      <c r="A44" s="7"/>
      <c r="B44" s="159">
        <v>37539</v>
      </c>
      <c r="C44" s="124"/>
      <c r="D44" s="128"/>
      <c r="E44" s="7" t="s">
        <v>135</v>
      </c>
      <c r="F44" s="101">
        <v>-45.39</v>
      </c>
      <c r="G44" s="98"/>
      <c r="H44" s="101">
        <f>SUM(F44:G44)+H43</f>
        <v>0</v>
      </c>
    </row>
    <row r="45" spans="1:8" ht="12.75" hidden="1" outlineLevel="1">
      <c r="A45" s="7"/>
      <c r="B45" s="159">
        <v>37546</v>
      </c>
      <c r="C45" s="124"/>
      <c r="D45" s="128">
        <v>28</v>
      </c>
      <c r="E45" s="7" t="s">
        <v>247</v>
      </c>
      <c r="F45" s="101"/>
      <c r="G45" s="98">
        <v>15.4</v>
      </c>
      <c r="H45" s="101">
        <f>SUM(F45:G45)+H44</f>
        <v>15.4</v>
      </c>
    </row>
    <row r="46" spans="2:8" ht="13.5" hidden="1" outlineLevel="1" thickBot="1">
      <c r="B46" s="161">
        <v>37553</v>
      </c>
      <c r="C46" s="130"/>
      <c r="D46" s="127"/>
      <c r="E46" s="5" t="s">
        <v>135</v>
      </c>
      <c r="F46" s="165">
        <v>-15.4</v>
      </c>
      <c r="G46" s="165"/>
      <c r="H46" s="131">
        <f>SUM(F46:G46)+H45</f>
        <v>0</v>
      </c>
    </row>
    <row r="47" spans="2:8" ht="12.75" collapsed="1">
      <c r="B47" s="4" t="s">
        <v>134</v>
      </c>
      <c r="D47" s="128"/>
      <c r="E47" s="8"/>
      <c r="F47" s="101"/>
      <c r="G47" s="101"/>
      <c r="H47" s="137">
        <f>H46</f>
        <v>0</v>
      </c>
    </row>
    <row r="49" spans="2:8" ht="12.75">
      <c r="B49" s="4" t="s">
        <v>163</v>
      </c>
      <c r="C49" s="123"/>
      <c r="E49" s="2"/>
      <c r="F49" s="129"/>
      <c r="G49" s="129"/>
      <c r="H49" s="129"/>
    </row>
    <row r="50" spans="2:8" ht="12.75" hidden="1" outlineLevel="1">
      <c r="B50" s="120" t="s">
        <v>0</v>
      </c>
      <c r="C50" s="120" t="s">
        <v>130</v>
      </c>
      <c r="D50" s="121" t="s">
        <v>66</v>
      </c>
      <c r="E50" s="121" t="s">
        <v>131</v>
      </c>
      <c r="F50" s="121" t="s">
        <v>132</v>
      </c>
      <c r="G50" s="121" t="s">
        <v>133</v>
      </c>
      <c r="H50" s="121" t="s">
        <v>134</v>
      </c>
    </row>
    <row r="51" spans="2:8" ht="12.75" hidden="1" outlineLevel="1">
      <c r="B51" s="85"/>
      <c r="C51" s="125" t="s">
        <v>134</v>
      </c>
      <c r="D51" s="214"/>
      <c r="E51" s="83"/>
      <c r="F51" s="134"/>
      <c r="G51" s="134"/>
      <c r="H51" s="134">
        <f>H47</f>
        <v>0</v>
      </c>
    </row>
    <row r="52" spans="2:8" ht="12.75" hidden="1" outlineLevel="1">
      <c r="B52" s="159">
        <v>37589</v>
      </c>
      <c r="C52" s="97"/>
      <c r="D52" s="166">
        <v>280</v>
      </c>
      <c r="E52" s="91" t="s">
        <v>204</v>
      </c>
      <c r="F52" s="98"/>
      <c r="G52" s="98">
        <v>11.2</v>
      </c>
      <c r="H52" s="98">
        <f>SUM(F52:G52)+H51</f>
        <v>11.2</v>
      </c>
    </row>
    <row r="53" spans="2:8" ht="13.5" hidden="1" outlineLevel="1" thickBot="1">
      <c r="B53" s="161">
        <v>37589</v>
      </c>
      <c r="C53" s="162"/>
      <c r="D53" s="163">
        <v>2</v>
      </c>
      <c r="E53" s="164" t="s">
        <v>143</v>
      </c>
      <c r="F53" s="165"/>
      <c r="G53" s="165">
        <v>0.04</v>
      </c>
      <c r="H53" s="165">
        <f>SUM(F53:G53)+H52</f>
        <v>11.239999999999998</v>
      </c>
    </row>
    <row r="54" spans="2:8" ht="12.75" collapsed="1">
      <c r="B54" s="215" t="s">
        <v>134</v>
      </c>
      <c r="C54" s="125"/>
      <c r="D54" s="166"/>
      <c r="E54" s="91"/>
      <c r="F54" s="98"/>
      <c r="G54" s="98"/>
      <c r="H54" s="217">
        <f>H53</f>
        <v>11.239999999999998</v>
      </c>
    </row>
    <row r="56" spans="2:8" ht="12.75">
      <c r="B56" s="4" t="s">
        <v>167</v>
      </c>
      <c r="C56" s="123"/>
      <c r="E56" s="2"/>
      <c r="F56" s="129"/>
      <c r="G56" s="129"/>
      <c r="H56" s="129"/>
    </row>
    <row r="57" spans="2:8" ht="12.75" hidden="1" outlineLevel="1">
      <c r="B57" s="120" t="s">
        <v>0</v>
      </c>
      <c r="C57" s="120" t="s">
        <v>130</v>
      </c>
      <c r="D57" s="121" t="s">
        <v>66</v>
      </c>
      <c r="E57" s="121" t="s">
        <v>131</v>
      </c>
      <c r="F57" s="121" t="s">
        <v>132</v>
      </c>
      <c r="G57" s="121" t="s">
        <v>133</v>
      </c>
      <c r="H57" s="121" t="s">
        <v>134</v>
      </c>
    </row>
    <row r="58" spans="2:8" ht="12.75" hidden="1" outlineLevel="1">
      <c r="B58" s="85"/>
      <c r="C58" s="125" t="s">
        <v>134</v>
      </c>
      <c r="D58" s="214"/>
      <c r="E58" s="83"/>
      <c r="F58" s="134"/>
      <c r="G58" s="134"/>
      <c r="H58" s="134">
        <f>H54</f>
        <v>11.239999999999998</v>
      </c>
    </row>
    <row r="59" spans="2:8" ht="12.75" hidden="1" outlineLevel="1">
      <c r="B59" s="159">
        <v>37595</v>
      </c>
      <c r="C59" s="97"/>
      <c r="D59" s="166"/>
      <c r="E59" s="7" t="s">
        <v>135</v>
      </c>
      <c r="F59" s="98">
        <v>-11.24</v>
      </c>
      <c r="G59" s="98"/>
      <c r="H59" s="98">
        <f>SUM(F59:G59)+H58</f>
        <v>0</v>
      </c>
    </row>
    <row r="60" spans="2:8" ht="12.75" hidden="1" outlineLevel="1">
      <c r="B60" s="159">
        <v>37596</v>
      </c>
      <c r="C60" s="125" t="s">
        <v>137</v>
      </c>
      <c r="D60" s="166">
        <v>1758</v>
      </c>
      <c r="E60" s="7" t="s">
        <v>259</v>
      </c>
      <c r="F60" s="98">
        <v>-267.13</v>
      </c>
      <c r="G60" s="98"/>
      <c r="H60" s="98">
        <f>SUM(F60:G60)+H59</f>
        <v>-267.13</v>
      </c>
    </row>
    <row r="61" spans="2:8" ht="13.5" hidden="1" outlineLevel="1" thickBot="1">
      <c r="B61" s="161">
        <v>37599</v>
      </c>
      <c r="C61" s="162"/>
      <c r="D61" s="163"/>
      <c r="E61" s="164" t="s">
        <v>260</v>
      </c>
      <c r="F61" s="165"/>
      <c r="G61" s="165">
        <v>285</v>
      </c>
      <c r="H61" s="165">
        <f>SUM(F61:G61)+H60</f>
        <v>17.870000000000005</v>
      </c>
    </row>
    <row r="62" spans="2:8" ht="12.75" collapsed="1">
      <c r="B62" s="215" t="s">
        <v>134</v>
      </c>
      <c r="C62" s="125"/>
      <c r="D62" s="166"/>
      <c r="E62" s="91"/>
      <c r="F62" s="98"/>
      <c r="G62" s="98"/>
      <c r="H62" s="217">
        <f>H61</f>
        <v>17.870000000000005</v>
      </c>
    </row>
    <row r="64" spans="2:8" ht="12.75">
      <c r="B64" s="4" t="s">
        <v>175</v>
      </c>
      <c r="C64" s="123"/>
      <c r="E64" s="2"/>
      <c r="F64" s="129"/>
      <c r="G64" s="129"/>
      <c r="H64" s="129"/>
    </row>
    <row r="65" spans="2:8" ht="12.75" hidden="1" outlineLevel="1">
      <c r="B65" s="120" t="s">
        <v>0</v>
      </c>
      <c r="C65" s="120" t="s">
        <v>130</v>
      </c>
      <c r="D65" s="121" t="s">
        <v>66</v>
      </c>
      <c r="E65" s="121" t="s">
        <v>131</v>
      </c>
      <c r="F65" s="121" t="s">
        <v>132</v>
      </c>
      <c r="G65" s="121" t="s">
        <v>133</v>
      </c>
      <c r="H65" s="121" t="s">
        <v>134</v>
      </c>
    </row>
    <row r="66" spans="2:8" ht="12.75" hidden="1" outlineLevel="1">
      <c r="B66" s="85"/>
      <c r="C66" s="125" t="s">
        <v>134</v>
      </c>
      <c r="D66" s="214"/>
      <c r="E66" s="83"/>
      <c r="F66" s="134"/>
      <c r="G66" s="134"/>
      <c r="H66" s="134">
        <f>H62</f>
        <v>17.870000000000005</v>
      </c>
    </row>
    <row r="67" spans="2:8" ht="13.5" hidden="1" outlineLevel="1" thickBot="1">
      <c r="B67" s="161">
        <v>37631</v>
      </c>
      <c r="C67" s="162"/>
      <c r="D67" s="163"/>
      <c r="E67" s="5" t="s">
        <v>135</v>
      </c>
      <c r="F67" s="165">
        <v>-17.87</v>
      </c>
      <c r="G67" s="165"/>
      <c r="H67" s="165">
        <f>SUM(F67:G67)+H66</f>
        <v>0</v>
      </c>
    </row>
    <row r="68" spans="2:8" ht="12.75" collapsed="1">
      <c r="B68" s="215" t="s">
        <v>134</v>
      </c>
      <c r="C68" s="125"/>
      <c r="D68" s="166"/>
      <c r="E68" s="91"/>
      <c r="F68" s="98"/>
      <c r="G68" s="98"/>
      <c r="H68" s="217">
        <f>H67</f>
        <v>0</v>
      </c>
    </row>
    <row r="70" spans="2:8" ht="12.75">
      <c r="B70" s="4" t="s">
        <v>177</v>
      </c>
      <c r="C70" s="123"/>
      <c r="E70" s="2"/>
      <c r="F70" s="129"/>
      <c r="G70" s="129"/>
      <c r="H70" s="129"/>
    </row>
    <row r="71" spans="2:8" ht="12.75" hidden="1" outlineLevel="1">
      <c r="B71" s="120" t="s">
        <v>0</v>
      </c>
      <c r="C71" s="120" t="s">
        <v>130</v>
      </c>
      <c r="D71" s="121" t="s">
        <v>66</v>
      </c>
      <c r="E71" s="121" t="s">
        <v>131</v>
      </c>
      <c r="F71" s="121" t="s">
        <v>132</v>
      </c>
      <c r="G71" s="121" t="s">
        <v>133</v>
      </c>
      <c r="H71" s="121" t="s">
        <v>134</v>
      </c>
    </row>
    <row r="72" spans="2:8" ht="12.75" hidden="1" outlineLevel="1">
      <c r="B72" s="71"/>
      <c r="C72" s="97" t="s">
        <v>134</v>
      </c>
      <c r="D72" s="166"/>
      <c r="E72" s="91"/>
      <c r="F72" s="98"/>
      <c r="G72" s="98"/>
      <c r="H72" s="98">
        <f>H68</f>
        <v>0</v>
      </c>
    </row>
    <row r="73" spans="2:8" ht="12.75" hidden="1" outlineLevel="1">
      <c r="B73" s="159">
        <v>37676</v>
      </c>
      <c r="C73" s="124" t="s">
        <v>136</v>
      </c>
      <c r="D73" s="128">
        <v>364</v>
      </c>
      <c r="E73" s="8" t="s">
        <v>94</v>
      </c>
      <c r="F73" s="8"/>
      <c r="G73" s="101">
        <v>399.32</v>
      </c>
      <c r="H73" s="98">
        <f>SUM(F73:G73)+H72</f>
        <v>399.32</v>
      </c>
    </row>
    <row r="74" spans="2:8" ht="12.75" hidden="1" outlineLevel="1">
      <c r="B74" s="159">
        <v>37676</v>
      </c>
      <c r="C74" s="124" t="s">
        <v>136</v>
      </c>
      <c r="D74" s="128">
        <v>280</v>
      </c>
      <c r="E74" s="8" t="s">
        <v>151</v>
      </c>
      <c r="F74" s="8"/>
      <c r="G74" s="101">
        <v>220.46</v>
      </c>
      <c r="H74" s="98">
        <f>SUM(F74:G74)+H73</f>
        <v>619.78</v>
      </c>
    </row>
    <row r="75" spans="2:8" ht="13.5" hidden="1" outlineLevel="1" thickBot="1">
      <c r="B75" s="161">
        <v>37683</v>
      </c>
      <c r="C75" s="162"/>
      <c r="D75" s="163">
        <v>255</v>
      </c>
      <c r="E75" s="6" t="s">
        <v>155</v>
      </c>
      <c r="F75" s="165"/>
      <c r="G75" s="165">
        <v>20.04</v>
      </c>
      <c r="H75" s="165">
        <f>SUM(F75:G75)+H74</f>
        <v>639.8199999999999</v>
      </c>
    </row>
    <row r="76" spans="2:8" ht="12.75" collapsed="1">
      <c r="B76" s="215" t="s">
        <v>134</v>
      </c>
      <c r="C76" s="125"/>
      <c r="D76" s="166"/>
      <c r="E76" s="91"/>
      <c r="F76" s="98"/>
      <c r="G76" s="98"/>
      <c r="H76" s="217">
        <f>H75</f>
        <v>639.8199999999999</v>
      </c>
    </row>
    <row r="78" spans="2:8" ht="12.75">
      <c r="B78" s="4" t="s">
        <v>182</v>
      </c>
      <c r="C78" s="123"/>
      <c r="E78" s="2"/>
      <c r="F78" s="129"/>
      <c r="G78" s="129"/>
      <c r="H78" s="129"/>
    </row>
    <row r="79" spans="2:8" ht="12.75" hidden="1" outlineLevel="1">
      <c r="B79" s="120" t="s">
        <v>0</v>
      </c>
      <c r="C79" s="120" t="s">
        <v>130</v>
      </c>
      <c r="D79" s="121" t="s">
        <v>66</v>
      </c>
      <c r="E79" s="121" t="s">
        <v>131</v>
      </c>
      <c r="F79" s="121" t="s">
        <v>132</v>
      </c>
      <c r="G79" s="121" t="s">
        <v>133</v>
      </c>
      <c r="H79" s="121" t="s">
        <v>134</v>
      </c>
    </row>
    <row r="80" spans="2:8" ht="12.75" hidden="1" outlineLevel="1">
      <c r="B80" s="85"/>
      <c r="C80" s="125" t="s">
        <v>134</v>
      </c>
      <c r="D80" s="214"/>
      <c r="E80" s="83"/>
      <c r="F80" s="134"/>
      <c r="G80" s="134"/>
      <c r="H80" s="134">
        <f>H76</f>
        <v>639.8199999999999</v>
      </c>
    </row>
    <row r="81" spans="2:8" ht="12.75" hidden="1" outlineLevel="1">
      <c r="B81" s="159">
        <v>37684</v>
      </c>
      <c r="C81" s="97"/>
      <c r="D81" s="166"/>
      <c r="E81" s="7" t="s">
        <v>135</v>
      </c>
      <c r="F81" s="98">
        <v>-639.82</v>
      </c>
      <c r="G81" s="98"/>
      <c r="H81" s="98">
        <f>SUM(F81:G81)+H80</f>
        <v>0</v>
      </c>
    </row>
    <row r="82" spans="2:8" ht="12.75" hidden="1" outlineLevel="1">
      <c r="B82" s="159">
        <v>37686</v>
      </c>
      <c r="C82" s="97"/>
      <c r="D82" s="166"/>
      <c r="E82" s="7" t="s">
        <v>278</v>
      </c>
      <c r="F82" s="98">
        <v>-20</v>
      </c>
      <c r="G82" s="98"/>
      <c r="H82" s="98">
        <f>SUM(F82:G82)+H81</f>
        <v>-20</v>
      </c>
    </row>
    <row r="83" spans="2:8" ht="13.5" hidden="1" outlineLevel="1" thickBot="1">
      <c r="B83" s="161">
        <v>37694</v>
      </c>
      <c r="C83" s="162"/>
      <c r="D83" s="163"/>
      <c r="E83" s="5" t="s">
        <v>260</v>
      </c>
      <c r="F83" s="165"/>
      <c r="G83" s="165">
        <v>20</v>
      </c>
      <c r="H83" s="165">
        <f>SUM(F83:G83)+H82</f>
        <v>0</v>
      </c>
    </row>
    <row r="84" spans="2:8" ht="12.75" collapsed="1">
      <c r="B84" s="215" t="s">
        <v>134</v>
      </c>
      <c r="C84" s="125"/>
      <c r="D84" s="166"/>
      <c r="E84" s="91"/>
      <c r="F84" s="98"/>
      <c r="G84" s="98"/>
      <c r="H84" s="217">
        <f>SUM(F84:G84)+H83</f>
        <v>0</v>
      </c>
    </row>
  </sheetData>
  <mergeCells count="3">
    <mergeCell ref="B2:C2"/>
    <mergeCell ref="B10:C10"/>
    <mergeCell ref="B23:C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09"/>
  <sheetViews>
    <sheetView zoomScale="90" zoomScaleNormal="90" workbookViewId="0" topLeftCell="A1">
      <pane ySplit="2" topLeftCell="BM3" activePane="bottomLeft" state="frozen"/>
      <selection pane="topLeft" activeCell="A1" sqref="A1"/>
      <selection pane="bottomLeft" activeCell="G3" sqref="G3:I3"/>
    </sheetView>
  </sheetViews>
  <sheetFormatPr defaultColWidth="9.140625" defaultRowHeight="12.75" outlineLevelRow="1"/>
  <cols>
    <col min="1" max="1" width="0.85546875" style="0" customWidth="1"/>
    <col min="2" max="2" width="12.7109375" style="0" customWidth="1"/>
    <col min="3" max="3" width="8.57421875" style="0" customWidth="1"/>
    <col min="4" max="4" width="8.28125" style="0" customWidth="1"/>
    <col min="5" max="5" width="8.28125" style="0" bestFit="1" customWidth="1"/>
    <col min="6" max="6" width="9.57421875" style="0" customWidth="1"/>
    <col min="7" max="7" width="10.421875" style="0" customWidth="1"/>
    <col min="8" max="8" width="1.1484375" style="0" customWidth="1"/>
    <col min="9" max="9" width="11.57421875" style="0" customWidth="1"/>
    <col min="10" max="10" width="8.57421875" style="0" customWidth="1"/>
    <col min="11" max="11" width="8.28125" style="0" customWidth="1"/>
    <col min="12" max="12" width="7.140625" style="0" customWidth="1"/>
    <col min="13" max="13" width="9.57421875" style="0" customWidth="1"/>
    <col min="14" max="14" width="10.7109375" style="0" customWidth="1"/>
    <col min="15" max="15" width="9.28125" style="122" bestFit="1" customWidth="1"/>
  </cols>
  <sheetData>
    <row r="1" spans="1:6" ht="4.5" customHeight="1" thickBot="1">
      <c r="A1" s="50"/>
      <c r="B1" s="50"/>
      <c r="C1" s="50"/>
      <c r="D1" s="50"/>
      <c r="E1" s="50"/>
      <c r="F1" s="50"/>
    </row>
    <row r="2" spans="2:14" ht="13.5" thickBot="1">
      <c r="B2" s="287" t="s">
        <v>124</v>
      </c>
      <c r="C2" s="288"/>
      <c r="D2" s="288"/>
      <c r="E2" s="288"/>
      <c r="F2" s="288"/>
      <c r="G2" s="289"/>
      <c r="I2" s="284" t="s">
        <v>123</v>
      </c>
      <c r="J2" s="285"/>
      <c r="K2" s="285"/>
      <c r="L2" s="285"/>
      <c r="M2" s="285"/>
      <c r="N2" s="286"/>
    </row>
    <row r="3" spans="3:14" ht="12.75">
      <c r="C3" s="212"/>
      <c r="D3" s="106"/>
      <c r="E3" s="106"/>
      <c r="F3" s="106"/>
      <c r="G3" s="290" t="s">
        <v>199</v>
      </c>
      <c r="H3" s="290"/>
      <c r="I3" s="290"/>
      <c r="J3" s="107"/>
      <c r="K3" s="107"/>
      <c r="L3" s="107"/>
      <c r="M3" s="107"/>
      <c r="N3" s="107"/>
    </row>
    <row r="4" spans="2:14" ht="12.75" customHeight="1" hidden="1" outlineLevel="1">
      <c r="B4" s="203" t="s">
        <v>65</v>
      </c>
      <c r="C4" s="203" t="s">
        <v>66</v>
      </c>
      <c r="D4" s="204" t="s">
        <v>47</v>
      </c>
      <c r="E4" s="99" t="s">
        <v>67</v>
      </c>
      <c r="F4" s="99" t="s">
        <v>129</v>
      </c>
      <c r="G4" s="204" t="s">
        <v>125</v>
      </c>
      <c r="H4" s="7"/>
      <c r="I4" s="203" t="s">
        <v>65</v>
      </c>
      <c r="J4" s="203" t="s">
        <v>66</v>
      </c>
      <c r="K4" s="204" t="s">
        <v>47</v>
      </c>
      <c r="L4" s="99" t="s">
        <v>67</v>
      </c>
      <c r="M4" s="99" t="s">
        <v>129</v>
      </c>
      <c r="N4" s="204" t="s">
        <v>125</v>
      </c>
    </row>
    <row r="5" spans="2:14" ht="12.75" hidden="1" outlineLevel="1">
      <c r="B5" s="186">
        <v>365</v>
      </c>
      <c r="C5" s="187">
        <v>242</v>
      </c>
      <c r="D5" s="188">
        <v>515.44</v>
      </c>
      <c r="E5" s="184">
        <v>6</v>
      </c>
      <c r="F5" s="184">
        <f>ROUND(C5*E5/100,2)-12</f>
        <v>2.5199999999999996</v>
      </c>
      <c r="G5" s="189">
        <f aca="true" t="shared" si="0" ref="G5:G12">F5-D5</f>
        <v>-512.9200000000001</v>
      </c>
      <c r="H5" s="85"/>
      <c r="I5" s="225" t="s">
        <v>32</v>
      </c>
      <c r="J5" s="187">
        <v>1747</v>
      </c>
      <c r="K5" s="184">
        <v>999.5</v>
      </c>
      <c r="L5" s="184">
        <v>50.5</v>
      </c>
      <c r="M5" s="184">
        <f>ROUND(J5*L5/100,2)-7.5</f>
        <v>874.74</v>
      </c>
      <c r="N5" s="189">
        <f aca="true" t="shared" si="1" ref="N5:N11">M5-K5</f>
        <v>-124.75999999999999</v>
      </c>
    </row>
    <row r="6" spans="2:14" ht="12.75" hidden="1" outlineLevel="1">
      <c r="B6" s="103" t="s">
        <v>174</v>
      </c>
      <c r="C6" s="168">
        <v>4304</v>
      </c>
      <c r="D6" s="96">
        <v>999.99</v>
      </c>
      <c r="E6" s="98">
        <v>22.5</v>
      </c>
      <c r="F6" s="98">
        <f>ROUND(C6*E6/100,2)-7.5</f>
        <v>960.9</v>
      </c>
      <c r="G6" s="148">
        <f t="shared" si="0"/>
        <v>-39.09000000000003</v>
      </c>
      <c r="H6" s="85"/>
      <c r="I6" s="169" t="s">
        <v>193</v>
      </c>
      <c r="J6" s="168">
        <v>202</v>
      </c>
      <c r="K6" s="134">
        <v>995.61</v>
      </c>
      <c r="L6" s="98">
        <v>499.5</v>
      </c>
      <c r="M6" s="98">
        <f>ROUND(J6*L6/100,2)-7.5</f>
        <v>1001.49</v>
      </c>
      <c r="N6" s="148">
        <f t="shared" si="1"/>
        <v>5.8799999999999955</v>
      </c>
    </row>
    <row r="7" spans="2:14" ht="12.75" hidden="1" outlineLevel="1">
      <c r="B7" s="103" t="s">
        <v>118</v>
      </c>
      <c r="C7" s="168">
        <v>255</v>
      </c>
      <c r="D7" s="96">
        <v>1015.65</v>
      </c>
      <c r="E7" s="98">
        <v>401</v>
      </c>
      <c r="F7" s="98">
        <f>ROUND(C7*E7/100,2)-12</f>
        <v>1010.55</v>
      </c>
      <c r="G7" s="148">
        <f t="shared" si="0"/>
        <v>-5.100000000000023</v>
      </c>
      <c r="H7" s="85"/>
      <c r="I7" s="169" t="s">
        <v>157</v>
      </c>
      <c r="J7" s="234">
        <v>280</v>
      </c>
      <c r="K7" s="235">
        <v>1017.92</v>
      </c>
      <c r="L7" s="236">
        <v>302</v>
      </c>
      <c r="M7" s="98">
        <f>ROUND(J7*L7/100,2)-12</f>
        <v>833.6</v>
      </c>
      <c r="N7" s="148">
        <f t="shared" si="1"/>
        <v>-184.31999999999994</v>
      </c>
    </row>
    <row r="8" spans="2:14" ht="12.75" hidden="1" outlineLevel="1">
      <c r="B8" s="169" t="s">
        <v>185</v>
      </c>
      <c r="C8" s="168">
        <v>85</v>
      </c>
      <c r="D8" s="98">
        <v>999.93</v>
      </c>
      <c r="E8" s="98">
        <v>958</v>
      </c>
      <c r="F8" s="98">
        <f>ROUND(C8*E8/100,2)-7.5</f>
        <v>806.8</v>
      </c>
      <c r="G8" s="148">
        <f t="shared" si="0"/>
        <v>-193.13</v>
      </c>
      <c r="H8" s="85"/>
      <c r="I8" s="175" t="s">
        <v>111</v>
      </c>
      <c r="J8" s="97">
        <v>28</v>
      </c>
      <c r="K8" s="229">
        <v>0</v>
      </c>
      <c r="L8" s="98">
        <v>92</v>
      </c>
      <c r="M8" s="98">
        <f>ROUND(J8*L8/100,2)-12</f>
        <v>13.760000000000002</v>
      </c>
      <c r="N8" s="148">
        <f t="shared" si="1"/>
        <v>13.760000000000002</v>
      </c>
    </row>
    <row r="9" spans="2:14" ht="13.5" customHeight="1" hidden="1" outlineLevel="1">
      <c r="B9" s="169" t="s">
        <v>152</v>
      </c>
      <c r="C9" s="168">
        <v>2000</v>
      </c>
      <c r="D9" s="134">
        <v>150.41</v>
      </c>
      <c r="E9" s="98">
        <v>9.8</v>
      </c>
      <c r="F9" s="98">
        <f>ROUND(C9*E9/100,2)-7.5</f>
        <v>188.5</v>
      </c>
      <c r="G9" s="148">
        <f t="shared" si="0"/>
        <v>38.09</v>
      </c>
      <c r="H9" s="85"/>
      <c r="I9" s="169" t="s">
        <v>61</v>
      </c>
      <c r="J9" s="168">
        <v>2</v>
      </c>
      <c r="K9" s="229">
        <v>5.16</v>
      </c>
      <c r="L9" s="98">
        <v>263</v>
      </c>
      <c r="M9" s="98">
        <f>ROUND(J9*L9/100,2)-12</f>
        <v>-6.74</v>
      </c>
      <c r="N9" s="148">
        <f>M9-K9</f>
        <v>-11.9</v>
      </c>
    </row>
    <row r="10" spans="2:14" ht="12.75" hidden="1" outlineLevel="1">
      <c r="B10" s="169" t="s">
        <v>180</v>
      </c>
      <c r="C10" s="168">
        <v>561</v>
      </c>
      <c r="D10" s="134">
        <v>994.16</v>
      </c>
      <c r="E10" s="98">
        <v>188.5</v>
      </c>
      <c r="F10" s="98">
        <f>ROUND(C10*E10/100,2)-7.5</f>
        <v>1049.99</v>
      </c>
      <c r="G10" s="148">
        <f t="shared" si="0"/>
        <v>55.83000000000004</v>
      </c>
      <c r="H10" s="85"/>
      <c r="I10" s="175" t="s">
        <v>94</v>
      </c>
      <c r="J10" s="97">
        <v>364</v>
      </c>
      <c r="K10" s="229">
        <v>1018.01</v>
      </c>
      <c r="L10" s="98">
        <v>230</v>
      </c>
      <c r="M10" s="98">
        <f>ROUND(J10*L10/100,2)-12</f>
        <v>825.2</v>
      </c>
      <c r="N10" s="148">
        <f t="shared" si="1"/>
        <v>-192.80999999999995</v>
      </c>
    </row>
    <row r="11" spans="2:14" ht="12.75" hidden="1" outlineLevel="1">
      <c r="B11" s="169" t="s">
        <v>184</v>
      </c>
      <c r="C11" s="168">
        <v>755</v>
      </c>
      <c r="D11" s="134">
        <v>1000.74</v>
      </c>
      <c r="E11" s="98">
        <v>124.5</v>
      </c>
      <c r="F11" s="98">
        <f>ROUND(C11*E11/100,2)-7.5</f>
        <v>932.48</v>
      </c>
      <c r="G11" s="148">
        <f t="shared" si="0"/>
        <v>-68.25999999999999</v>
      </c>
      <c r="H11" s="85"/>
      <c r="I11" s="226" t="s">
        <v>126</v>
      </c>
      <c r="J11" s="227"/>
      <c r="K11" s="184">
        <f>SUM(K5:K10)</f>
        <v>4036.2</v>
      </c>
      <c r="L11" s="184"/>
      <c r="M11" s="228">
        <f>SUM(M5:M10)</f>
        <v>3542.05</v>
      </c>
      <c r="N11" s="185">
        <f t="shared" si="1"/>
        <v>-494.14999999999964</v>
      </c>
    </row>
    <row r="12" spans="2:14" ht="12.75" hidden="1" outlineLevel="1">
      <c r="B12" s="226" t="s">
        <v>126</v>
      </c>
      <c r="C12" s="227"/>
      <c r="D12" s="184">
        <f>SUM(D4:D11)</f>
        <v>5676.32</v>
      </c>
      <c r="E12" s="184"/>
      <c r="F12" s="228">
        <f>SUM(F5:F11)</f>
        <v>4951.74</v>
      </c>
      <c r="G12" s="185">
        <f t="shared" si="0"/>
        <v>-724.5799999999999</v>
      </c>
      <c r="H12" s="85"/>
      <c r="I12" s="172"/>
      <c r="J12" s="71"/>
      <c r="K12" s="98"/>
      <c r="L12" s="98"/>
      <c r="M12" s="119"/>
      <c r="N12" s="116"/>
    </row>
    <row r="13" spans="2:14" ht="12.75" hidden="1" outlineLevel="1">
      <c r="B13" s="104"/>
      <c r="C13" s="105"/>
      <c r="D13" s="66"/>
      <c r="E13" s="88"/>
      <c r="F13" s="178"/>
      <c r="G13" s="179"/>
      <c r="H13" s="85"/>
      <c r="I13" s="175" t="s">
        <v>193</v>
      </c>
      <c r="J13" s="72"/>
      <c r="K13" s="96"/>
      <c r="L13" s="96"/>
      <c r="M13" s="98">
        <v>-995.61</v>
      </c>
      <c r="N13" s="173"/>
    </row>
    <row r="14" spans="2:14" ht="12.75" hidden="1" outlineLevel="1">
      <c r="B14" s="13"/>
      <c r="C14" s="7"/>
      <c r="D14" s="7"/>
      <c r="E14" s="71"/>
      <c r="F14" s="71"/>
      <c r="G14" s="179"/>
      <c r="H14" s="85"/>
      <c r="I14" s="175" t="s">
        <v>61</v>
      </c>
      <c r="J14" s="72"/>
      <c r="K14" s="96"/>
      <c r="L14" s="96"/>
      <c r="M14" s="98">
        <v>1447.46</v>
      </c>
      <c r="N14" s="173"/>
    </row>
    <row r="15" spans="2:14" ht="12.75" hidden="1" outlineLevel="1">
      <c r="B15" s="77"/>
      <c r="C15" s="124"/>
      <c r="D15" s="101"/>
      <c r="E15" s="98"/>
      <c r="F15" s="98"/>
      <c r="G15" s="224"/>
      <c r="H15" s="85"/>
      <c r="I15" s="103" t="s">
        <v>51</v>
      </c>
      <c r="J15" s="71"/>
      <c r="K15" s="96"/>
      <c r="L15" s="96"/>
      <c r="M15" s="97">
        <v>764.71</v>
      </c>
      <c r="N15" s="173"/>
    </row>
    <row r="16" spans="2:14" ht="12.75" hidden="1" outlineLevel="1">
      <c r="B16" s="175" t="s">
        <v>114</v>
      </c>
      <c r="C16" s="91"/>
      <c r="D16" s="91"/>
      <c r="E16" s="97"/>
      <c r="F16" s="178">
        <v>0.02</v>
      </c>
      <c r="G16" s="179"/>
      <c r="H16" s="85"/>
      <c r="I16" s="175" t="s">
        <v>114</v>
      </c>
      <c r="J16" s="91"/>
      <c r="K16" s="91"/>
      <c r="L16" s="97"/>
      <c r="M16" s="178">
        <v>0.03</v>
      </c>
      <c r="N16" s="116"/>
    </row>
    <row r="17" spans="2:14" ht="12.75" hidden="1" outlineLevel="1">
      <c r="B17" s="13" t="s">
        <v>179</v>
      </c>
      <c r="C17" s="7"/>
      <c r="D17" s="8"/>
      <c r="E17" s="71"/>
      <c r="F17" s="97">
        <v>0.01</v>
      </c>
      <c r="G17" s="179"/>
      <c r="H17" s="85"/>
      <c r="I17" s="175" t="s">
        <v>179</v>
      </c>
      <c r="J17" s="71"/>
      <c r="K17" s="91"/>
      <c r="L17" s="71"/>
      <c r="M17" s="97">
        <v>0.01</v>
      </c>
      <c r="N17" s="173"/>
    </row>
    <row r="18" spans="2:14" ht="12.75" hidden="1" outlineLevel="1">
      <c r="B18" s="104" t="s">
        <v>46</v>
      </c>
      <c r="C18" s="105"/>
      <c r="D18" s="66"/>
      <c r="E18" s="88"/>
      <c r="F18" s="178">
        <v>292.59</v>
      </c>
      <c r="G18" s="148"/>
      <c r="H18" s="71"/>
      <c r="I18" s="103" t="s">
        <v>46</v>
      </c>
      <c r="J18" s="71"/>
      <c r="K18" s="96"/>
      <c r="L18" s="96"/>
      <c r="M18" s="97">
        <v>451.12</v>
      </c>
      <c r="N18" s="173"/>
    </row>
    <row r="19" spans="2:14" ht="12.75" hidden="1" outlineLevel="1">
      <c r="B19" s="205" t="s">
        <v>128</v>
      </c>
      <c r="C19" s="206"/>
      <c r="D19" s="206"/>
      <c r="E19" s="191"/>
      <c r="F19" s="257">
        <v>210</v>
      </c>
      <c r="G19" s="192"/>
      <c r="H19" s="71"/>
      <c r="I19" s="113" t="s">
        <v>128</v>
      </c>
      <c r="J19" s="211"/>
      <c r="K19" s="110"/>
      <c r="L19" s="110"/>
      <c r="M19" s="257">
        <v>210</v>
      </c>
      <c r="N19" s="207"/>
    </row>
    <row r="20" spans="2:15" ht="12.75" hidden="1" outlineLevel="1">
      <c r="B20" s="117" t="s">
        <v>127</v>
      </c>
      <c r="C20" s="105"/>
      <c r="D20" s="105"/>
      <c r="E20" s="88"/>
      <c r="F20" s="119">
        <f>SUM(F16:F19)</f>
        <v>502.61999999999995</v>
      </c>
      <c r="G20" s="88"/>
      <c r="H20" s="85"/>
      <c r="I20" s="117" t="s">
        <v>127</v>
      </c>
      <c r="J20" s="71"/>
      <c r="K20" s="96"/>
      <c r="L20" s="96"/>
      <c r="M20" s="180">
        <f>SUM(M13:M19)</f>
        <v>1877.7199999999998</v>
      </c>
      <c r="N20" s="91"/>
      <c r="O20" s="138">
        <f>F20+M20</f>
        <v>2380.3399999999997</v>
      </c>
    </row>
    <row r="21" spans="2:15" ht="12.75" collapsed="1">
      <c r="B21" s="118" t="s">
        <v>36</v>
      </c>
      <c r="C21" s="105"/>
      <c r="D21" s="105"/>
      <c r="E21" s="88"/>
      <c r="F21" s="119">
        <f>F12+F20</f>
        <v>5454.36</v>
      </c>
      <c r="G21" s="88"/>
      <c r="H21" s="71"/>
      <c r="I21" s="181" t="s">
        <v>36</v>
      </c>
      <c r="J21" s="72"/>
      <c r="K21" s="96"/>
      <c r="L21" s="96"/>
      <c r="M21" s="119">
        <f>M11+M20</f>
        <v>5419.77</v>
      </c>
      <c r="N21" s="91"/>
      <c r="O21" s="138">
        <f>F21+M21</f>
        <v>10874.130000000001</v>
      </c>
    </row>
    <row r="22" spans="2:14" ht="12.75">
      <c r="B22" s="95"/>
      <c r="E22" s="85"/>
      <c r="F22" s="85"/>
      <c r="G22" s="85"/>
      <c r="H22" s="85"/>
      <c r="I22" s="71"/>
      <c r="J22" s="71"/>
      <c r="K22" s="91"/>
      <c r="L22" s="91"/>
      <c r="M22" s="91"/>
      <c r="N22" s="91"/>
    </row>
    <row r="23" spans="3:14" ht="12.75">
      <c r="C23" s="143"/>
      <c r="D23" s="106"/>
      <c r="E23" s="106"/>
      <c r="F23" s="106"/>
      <c r="G23" s="283" t="s">
        <v>202</v>
      </c>
      <c r="H23" s="283"/>
      <c r="I23" s="283"/>
      <c r="J23" s="107"/>
      <c r="K23" s="107"/>
      <c r="L23" s="107"/>
      <c r="M23" s="107"/>
      <c r="N23" s="107"/>
    </row>
    <row r="24" spans="2:14" ht="12.75" hidden="1" outlineLevel="1">
      <c r="B24" s="203" t="s">
        <v>65</v>
      </c>
      <c r="C24" s="203" t="s">
        <v>66</v>
      </c>
      <c r="D24" s="204" t="s">
        <v>47</v>
      </c>
      <c r="E24" s="180" t="s">
        <v>67</v>
      </c>
      <c r="F24" s="180" t="s">
        <v>129</v>
      </c>
      <c r="G24" s="210" t="s">
        <v>125</v>
      </c>
      <c r="H24" s="71"/>
      <c r="I24" s="209" t="s">
        <v>65</v>
      </c>
      <c r="J24" s="209" t="s">
        <v>66</v>
      </c>
      <c r="K24" s="210" t="s">
        <v>47</v>
      </c>
      <c r="L24" s="180" t="s">
        <v>67</v>
      </c>
      <c r="M24" s="180" t="s">
        <v>129</v>
      </c>
      <c r="N24" s="210" t="s">
        <v>125</v>
      </c>
    </row>
    <row r="25" spans="2:14" ht="12.75" customHeight="1" hidden="1" outlineLevel="1">
      <c r="B25" s="245" t="s">
        <v>174</v>
      </c>
      <c r="C25" s="187">
        <v>4304</v>
      </c>
      <c r="D25" s="188">
        <v>999.99</v>
      </c>
      <c r="E25" s="184">
        <v>8</v>
      </c>
      <c r="F25" s="184">
        <f>ROUND(C25*E25/100,2)-7.5</f>
        <v>336.82</v>
      </c>
      <c r="G25" s="189">
        <f aca="true" t="shared" si="2" ref="G25:G31">F25-D25</f>
        <v>-663.1700000000001</v>
      </c>
      <c r="H25" s="85"/>
      <c r="I25" s="225" t="s">
        <v>32</v>
      </c>
      <c r="J25" s="187">
        <v>1747</v>
      </c>
      <c r="K25" s="184">
        <v>999.5</v>
      </c>
      <c r="L25" s="184">
        <v>44</v>
      </c>
      <c r="M25" s="184">
        <f>ROUND(J25*L25/100,2)-7.5</f>
        <v>761.18</v>
      </c>
      <c r="N25" s="189">
        <f aca="true" t="shared" si="3" ref="N25:N31">M25-K25</f>
        <v>-238.32000000000005</v>
      </c>
    </row>
    <row r="26" spans="2:14" ht="12.75" hidden="1" outlineLevel="1">
      <c r="B26" s="244" t="s">
        <v>210</v>
      </c>
      <c r="C26" s="100">
        <v>242</v>
      </c>
      <c r="D26" s="94">
        <v>515.44</v>
      </c>
      <c r="E26" s="98">
        <v>8.5</v>
      </c>
      <c r="F26" s="98">
        <f>ROUND(C26*E26/100,2)-12</f>
        <v>8.57</v>
      </c>
      <c r="G26" s="148">
        <f t="shared" si="2"/>
        <v>-506.87000000000006</v>
      </c>
      <c r="H26" s="85"/>
      <c r="I26" s="169" t="s">
        <v>193</v>
      </c>
      <c r="J26" s="168">
        <v>202</v>
      </c>
      <c r="K26" s="134">
        <v>995.61</v>
      </c>
      <c r="L26" s="98">
        <v>466.5</v>
      </c>
      <c r="M26" s="98">
        <f>ROUND(J26*L26/100,2)-7.5</f>
        <v>934.83</v>
      </c>
      <c r="N26" s="148">
        <f t="shared" si="3"/>
        <v>-60.77999999999997</v>
      </c>
    </row>
    <row r="27" spans="2:14" ht="12.75" hidden="1" outlineLevel="1">
      <c r="B27" s="103" t="s">
        <v>118</v>
      </c>
      <c r="C27" s="100">
        <v>255</v>
      </c>
      <c r="D27" s="96">
        <v>1015.65</v>
      </c>
      <c r="E27" s="98">
        <v>412.25</v>
      </c>
      <c r="F27" s="98">
        <f>ROUND(C27*E27/100,2)-12</f>
        <v>1039.24</v>
      </c>
      <c r="G27" s="148">
        <f t="shared" si="2"/>
        <v>23.590000000000032</v>
      </c>
      <c r="H27" s="85"/>
      <c r="I27" s="169" t="s">
        <v>157</v>
      </c>
      <c r="J27" s="234">
        <v>280</v>
      </c>
      <c r="K27" s="235">
        <v>1017.92</v>
      </c>
      <c r="L27" s="236">
        <v>292.75</v>
      </c>
      <c r="M27" s="98">
        <f>ROUND(J27*L27/100,2)-12</f>
        <v>807.7</v>
      </c>
      <c r="N27" s="148">
        <f t="shared" si="3"/>
        <v>-210.2199999999999</v>
      </c>
    </row>
    <row r="28" spans="2:14" ht="12.75" hidden="1" outlineLevel="1">
      <c r="B28" s="169" t="s">
        <v>180</v>
      </c>
      <c r="C28" s="168">
        <v>561</v>
      </c>
      <c r="D28" s="98">
        <v>994.16</v>
      </c>
      <c r="E28" s="98">
        <v>193</v>
      </c>
      <c r="F28" s="98">
        <f>ROUND(C28*E28/100,2)-7.5</f>
        <v>1075.23</v>
      </c>
      <c r="G28" s="148">
        <f t="shared" si="2"/>
        <v>81.07000000000005</v>
      </c>
      <c r="H28" s="85"/>
      <c r="I28" s="175" t="s">
        <v>111</v>
      </c>
      <c r="J28" s="97">
        <v>28</v>
      </c>
      <c r="K28" s="229">
        <v>0</v>
      </c>
      <c r="L28" s="98">
        <v>75</v>
      </c>
      <c r="M28" s="98">
        <f>ROUND(J28*L28/100,2)-12</f>
        <v>9</v>
      </c>
      <c r="N28" s="148">
        <f t="shared" si="3"/>
        <v>9</v>
      </c>
    </row>
    <row r="29" spans="2:14" ht="12.75" hidden="1" outlineLevel="1">
      <c r="B29" s="169" t="s">
        <v>184</v>
      </c>
      <c r="C29" s="168">
        <v>755</v>
      </c>
      <c r="D29" s="98">
        <v>1000.74</v>
      </c>
      <c r="E29" s="98">
        <v>130</v>
      </c>
      <c r="F29" s="98">
        <f>ROUND(C29*E29/100,2)-7.5</f>
        <v>974</v>
      </c>
      <c r="G29" s="148">
        <f>F29-D29</f>
        <v>-26.74000000000001</v>
      </c>
      <c r="H29" s="85"/>
      <c r="I29" s="169" t="s">
        <v>61</v>
      </c>
      <c r="J29" s="168">
        <v>2</v>
      </c>
      <c r="K29" s="229">
        <v>5.16</v>
      </c>
      <c r="L29" s="98">
        <v>257</v>
      </c>
      <c r="M29" s="98">
        <f>ROUND(J29*L29/100,2)-12</f>
        <v>-6.86</v>
      </c>
      <c r="N29" s="148">
        <f t="shared" si="3"/>
        <v>-12.02</v>
      </c>
    </row>
    <row r="30" spans="2:14" ht="12.75" hidden="1" outlineLevel="1">
      <c r="B30" s="103" t="s">
        <v>209</v>
      </c>
      <c r="C30" s="168">
        <v>4304</v>
      </c>
      <c r="D30" s="96">
        <v>0</v>
      </c>
      <c r="E30" s="98">
        <v>11</v>
      </c>
      <c r="F30" s="98">
        <f>ROUND(C30*E30/100,2)-7.5</f>
        <v>465.94</v>
      </c>
      <c r="G30" s="148">
        <f>F30-D30</f>
        <v>465.94</v>
      </c>
      <c r="H30" s="85"/>
      <c r="I30" s="175" t="s">
        <v>94</v>
      </c>
      <c r="J30" s="97">
        <v>364</v>
      </c>
      <c r="K30" s="229">
        <v>1018.01</v>
      </c>
      <c r="L30" s="98">
        <v>200</v>
      </c>
      <c r="M30" s="98">
        <f>ROUND(J30*L30/100,2)-12</f>
        <v>716</v>
      </c>
      <c r="N30" s="148">
        <f t="shared" si="3"/>
        <v>-302.01</v>
      </c>
    </row>
    <row r="31" spans="2:15" ht="12.75" hidden="1" outlineLevel="1">
      <c r="B31" s="182" t="s">
        <v>126</v>
      </c>
      <c r="C31" s="11"/>
      <c r="D31" s="183">
        <f>SUM(D24:D30)</f>
        <v>4525.98</v>
      </c>
      <c r="E31" s="184"/>
      <c r="F31" s="228">
        <f>SUM(F24:F30)</f>
        <v>3899.8</v>
      </c>
      <c r="G31" s="185">
        <f t="shared" si="2"/>
        <v>-626.1799999999994</v>
      </c>
      <c r="H31" s="85"/>
      <c r="I31" s="226" t="s">
        <v>126</v>
      </c>
      <c r="J31" s="227"/>
      <c r="K31" s="184">
        <f>SUM(K24:K30)</f>
        <v>4036.2</v>
      </c>
      <c r="L31" s="184"/>
      <c r="M31" s="228">
        <f>SUM(M24:M30)</f>
        <v>3221.85</v>
      </c>
      <c r="N31" s="185">
        <f t="shared" si="3"/>
        <v>-814.3499999999999</v>
      </c>
      <c r="O31" s="129"/>
    </row>
    <row r="32" spans="2:14" ht="12.75" hidden="1" outlineLevel="1">
      <c r="B32" s="102"/>
      <c r="C32" s="7"/>
      <c r="D32" s="101"/>
      <c r="E32" s="98"/>
      <c r="F32" s="119"/>
      <c r="G32" s="116"/>
      <c r="H32" s="85"/>
      <c r="I32" s="172"/>
      <c r="J32" s="71"/>
      <c r="K32" s="98"/>
      <c r="L32" s="98"/>
      <c r="M32" s="119"/>
      <c r="N32" s="116"/>
    </row>
    <row r="33" spans="2:14" ht="12.75" hidden="1" outlineLevel="1">
      <c r="B33" s="77" t="s">
        <v>152</v>
      </c>
      <c r="C33" s="7"/>
      <c r="D33" s="101"/>
      <c r="E33" s="98"/>
      <c r="F33" s="178">
        <v>253.5</v>
      </c>
      <c r="G33" s="179"/>
      <c r="H33" s="85"/>
      <c r="I33" s="172"/>
      <c r="J33" s="71"/>
      <c r="K33" s="98"/>
      <c r="L33" s="98"/>
      <c r="M33" s="119"/>
      <c r="N33" s="116"/>
    </row>
    <row r="34" spans="2:14" ht="12.75" hidden="1" outlineLevel="1">
      <c r="B34" s="77" t="s">
        <v>185</v>
      </c>
      <c r="C34" s="7"/>
      <c r="D34" s="101"/>
      <c r="E34" s="98"/>
      <c r="F34" s="178">
        <v>788.95</v>
      </c>
      <c r="G34" s="116"/>
      <c r="H34" s="85"/>
      <c r="I34" s="175"/>
      <c r="J34" s="72"/>
      <c r="K34" s="96"/>
      <c r="L34" s="96"/>
      <c r="M34" s="98"/>
      <c r="N34" s="173"/>
    </row>
    <row r="35" spans="2:14" ht="12.75" hidden="1" outlineLevel="1">
      <c r="B35" s="77" t="s">
        <v>207</v>
      </c>
      <c r="C35" s="7"/>
      <c r="D35" s="101"/>
      <c r="E35" s="98"/>
      <c r="F35" s="178">
        <v>15.06</v>
      </c>
      <c r="G35" s="116"/>
      <c r="H35" s="85"/>
      <c r="I35" s="175"/>
      <c r="J35" s="72"/>
      <c r="K35" s="96"/>
      <c r="L35" s="96"/>
      <c r="M35" s="98"/>
      <c r="N35" s="173"/>
    </row>
    <row r="36" spans="2:14" ht="12.75" hidden="1" outlineLevel="1">
      <c r="B36" s="77" t="s">
        <v>211</v>
      </c>
      <c r="C36" s="7"/>
      <c r="D36" s="101"/>
      <c r="E36" s="98"/>
      <c r="F36" s="178">
        <v>25.24</v>
      </c>
      <c r="G36" s="116"/>
      <c r="H36" s="85"/>
      <c r="I36" s="169" t="s">
        <v>212</v>
      </c>
      <c r="J36" s="72"/>
      <c r="K36" s="96"/>
      <c r="L36" s="96"/>
      <c r="M36" s="98">
        <v>20.16</v>
      </c>
      <c r="N36" s="173"/>
    </row>
    <row r="37" spans="2:14" ht="12.75" hidden="1" outlineLevel="1">
      <c r="B37" s="13" t="s">
        <v>179</v>
      </c>
      <c r="C37" s="7"/>
      <c r="D37" s="8"/>
      <c r="E37" s="71"/>
      <c r="F37" s="97">
        <v>0.01</v>
      </c>
      <c r="G37" s="179"/>
      <c r="H37" s="85"/>
      <c r="I37" s="175" t="s">
        <v>179</v>
      </c>
      <c r="J37" s="71"/>
      <c r="K37" s="91"/>
      <c r="L37" s="71"/>
      <c r="M37" s="97">
        <v>0.02</v>
      </c>
      <c r="N37" s="173"/>
    </row>
    <row r="38" spans="2:14" ht="12.75" hidden="1" outlineLevel="1">
      <c r="B38" s="104" t="s">
        <v>46</v>
      </c>
      <c r="C38" s="105"/>
      <c r="D38" s="66"/>
      <c r="E38" s="88"/>
      <c r="F38" s="178">
        <f>F20</f>
        <v>502.61999999999995</v>
      </c>
      <c r="G38" s="179"/>
      <c r="H38" s="85"/>
      <c r="I38" s="103" t="s">
        <v>46</v>
      </c>
      <c r="J38" s="71"/>
      <c r="K38" s="96"/>
      <c r="L38" s="96"/>
      <c r="M38" s="98">
        <f>M20</f>
        <v>1877.7199999999998</v>
      </c>
      <c r="N38" s="173"/>
    </row>
    <row r="39" spans="2:14" ht="12.75" hidden="1" outlineLevel="1">
      <c r="B39" s="205" t="s">
        <v>128</v>
      </c>
      <c r="C39" s="206"/>
      <c r="D39" s="206"/>
      <c r="E39" s="191"/>
      <c r="F39" s="257">
        <f>210</f>
        <v>210</v>
      </c>
      <c r="G39" s="192"/>
      <c r="H39" s="85"/>
      <c r="I39" s="113" t="s">
        <v>128</v>
      </c>
      <c r="J39" s="211"/>
      <c r="K39" s="110"/>
      <c r="L39" s="110"/>
      <c r="M39" s="257">
        <f>210</f>
        <v>210</v>
      </c>
      <c r="N39" s="207"/>
    </row>
    <row r="40" spans="2:15" ht="12.75" hidden="1" outlineLevel="1">
      <c r="B40" s="117" t="s">
        <v>127</v>
      </c>
      <c r="C40" s="105"/>
      <c r="D40" s="105"/>
      <c r="E40" s="88"/>
      <c r="F40" s="119">
        <f>SUM(F33:F39)</f>
        <v>1795.3799999999999</v>
      </c>
      <c r="G40" s="88"/>
      <c r="H40" s="85"/>
      <c r="I40" s="117" t="s">
        <v>127</v>
      </c>
      <c r="J40" s="71"/>
      <c r="K40" s="96"/>
      <c r="L40" s="96"/>
      <c r="M40" s="180">
        <f>SUM(M35:M39)</f>
        <v>2107.8999999999996</v>
      </c>
      <c r="N40" s="91"/>
      <c r="O40" s="138">
        <f>F40+M40</f>
        <v>3903.2799999999997</v>
      </c>
    </row>
    <row r="41" spans="2:15" ht="12.75" collapsed="1">
      <c r="B41" s="118" t="s">
        <v>36</v>
      </c>
      <c r="C41" s="105"/>
      <c r="D41" s="105"/>
      <c r="E41" s="88"/>
      <c r="F41" s="119">
        <f>F31+F40</f>
        <v>5695.18</v>
      </c>
      <c r="G41" s="88"/>
      <c r="H41" s="71"/>
      <c r="I41" s="181" t="s">
        <v>36</v>
      </c>
      <c r="J41" s="72"/>
      <c r="K41" s="96"/>
      <c r="L41" s="96"/>
      <c r="M41" s="119">
        <f>M31+M40</f>
        <v>5329.75</v>
      </c>
      <c r="N41" s="91"/>
      <c r="O41" s="138">
        <f>F41+M41</f>
        <v>11024.93</v>
      </c>
    </row>
    <row r="42" spans="2:14" ht="12.75">
      <c r="B42" s="118"/>
      <c r="C42" s="105"/>
      <c r="D42" s="105"/>
      <c r="E42" s="88"/>
      <c r="F42" s="119"/>
      <c r="G42" s="88"/>
      <c r="H42" s="71"/>
      <c r="I42" s="181"/>
      <c r="J42" s="72"/>
      <c r="K42" s="96"/>
      <c r="L42" s="96"/>
      <c r="M42" s="119"/>
      <c r="N42" s="91"/>
    </row>
    <row r="43" spans="3:14" ht="12.75">
      <c r="C43" s="200"/>
      <c r="D43" s="106"/>
      <c r="E43" s="106"/>
      <c r="F43" s="106"/>
      <c r="G43" s="283" t="s">
        <v>220</v>
      </c>
      <c r="H43" s="283"/>
      <c r="I43" s="283"/>
      <c r="J43" s="107"/>
      <c r="K43" s="107"/>
      <c r="L43" s="107"/>
      <c r="M43" s="107"/>
      <c r="N43" s="107"/>
    </row>
    <row r="44" spans="2:14" ht="12.75" hidden="1" outlineLevel="1">
      <c r="B44" s="209" t="s">
        <v>65</v>
      </c>
      <c r="C44" s="209" t="s">
        <v>66</v>
      </c>
      <c r="D44" s="210" t="s">
        <v>47</v>
      </c>
      <c r="E44" s="180" t="s">
        <v>67</v>
      </c>
      <c r="F44" s="180" t="s">
        <v>129</v>
      </c>
      <c r="G44" s="210" t="s">
        <v>125</v>
      </c>
      <c r="H44" s="71"/>
      <c r="I44" s="209" t="s">
        <v>65</v>
      </c>
      <c r="J44" s="209" t="s">
        <v>66</v>
      </c>
      <c r="K44" s="210" t="s">
        <v>47</v>
      </c>
      <c r="L44" s="180" t="s">
        <v>67</v>
      </c>
      <c r="M44" s="180" t="s">
        <v>129</v>
      </c>
      <c r="N44" s="210" t="s">
        <v>125</v>
      </c>
    </row>
    <row r="45" spans="2:14" ht="12.75" hidden="1" outlineLevel="1">
      <c r="B45" s="245" t="s">
        <v>174</v>
      </c>
      <c r="C45" s="187">
        <v>4304</v>
      </c>
      <c r="D45" s="188">
        <v>999.99</v>
      </c>
      <c r="E45" s="184">
        <v>6.25</v>
      </c>
      <c r="F45" s="184">
        <f>ROUND(C45*E45/100,2)-7.5</f>
        <v>261.5</v>
      </c>
      <c r="G45" s="189">
        <f aca="true" t="shared" si="4" ref="G45:G52">F45-D45</f>
        <v>-738.49</v>
      </c>
      <c r="H45" s="85"/>
      <c r="I45" s="225" t="s">
        <v>32</v>
      </c>
      <c r="J45" s="187">
        <v>1747</v>
      </c>
      <c r="K45" s="184">
        <v>999.5</v>
      </c>
      <c r="L45" s="184">
        <v>33</v>
      </c>
      <c r="M45" s="184">
        <f>ROUND(J45*L45/100,2)-7.5</f>
        <v>569.01</v>
      </c>
      <c r="N45" s="189">
        <f aca="true" t="shared" si="5" ref="N45:N50">M45-K45</f>
        <v>-430.49</v>
      </c>
    </row>
    <row r="46" spans="2:14" ht="12.75" hidden="1" outlineLevel="1">
      <c r="B46" s="244" t="s">
        <v>210</v>
      </c>
      <c r="C46" s="100">
        <v>242</v>
      </c>
      <c r="D46" s="94">
        <v>515.44</v>
      </c>
      <c r="E46" s="98">
        <v>4.5</v>
      </c>
      <c r="F46" s="98">
        <f>ROUND(C46*E46/100,2)-12</f>
        <v>-1.1099999999999994</v>
      </c>
      <c r="G46" s="148">
        <f t="shared" si="4"/>
        <v>-516.5500000000001</v>
      </c>
      <c r="H46" s="85"/>
      <c r="I46" s="169" t="s">
        <v>193</v>
      </c>
      <c r="J46" s="168">
        <v>202</v>
      </c>
      <c r="K46" s="98">
        <v>995.61</v>
      </c>
      <c r="L46" s="98">
        <v>415</v>
      </c>
      <c r="M46" s="98">
        <f>ROUND(J46*L46/100,2)-7.5</f>
        <v>830.8</v>
      </c>
      <c r="N46" s="148">
        <f t="shared" si="5"/>
        <v>-164.81000000000006</v>
      </c>
    </row>
    <row r="47" spans="2:14" ht="12.75" hidden="1" outlineLevel="1">
      <c r="B47" s="103" t="s">
        <v>118</v>
      </c>
      <c r="C47" s="100">
        <v>255</v>
      </c>
      <c r="D47" s="96">
        <v>1015.65</v>
      </c>
      <c r="E47" s="98">
        <v>431</v>
      </c>
      <c r="F47" s="98">
        <f>ROUND(C47*E47/100,2)-12</f>
        <v>1087.05</v>
      </c>
      <c r="G47" s="148">
        <f t="shared" si="4"/>
        <v>71.39999999999998</v>
      </c>
      <c r="H47" s="85"/>
      <c r="I47" s="169" t="s">
        <v>157</v>
      </c>
      <c r="J47" s="234">
        <v>280</v>
      </c>
      <c r="K47" s="235">
        <v>1017.92</v>
      </c>
      <c r="L47" s="236">
        <v>245</v>
      </c>
      <c r="M47" s="98">
        <f>ROUND(J47*L47/100,2)-12</f>
        <v>674</v>
      </c>
      <c r="N47" s="148">
        <f t="shared" si="5"/>
        <v>-343.91999999999996</v>
      </c>
    </row>
    <row r="48" spans="2:14" ht="12.75" hidden="1" outlineLevel="1">
      <c r="B48" s="169" t="s">
        <v>152</v>
      </c>
      <c r="C48" s="168">
        <v>5090</v>
      </c>
      <c r="D48" s="98">
        <v>249.98</v>
      </c>
      <c r="E48" s="98">
        <v>3.95</v>
      </c>
      <c r="F48" s="98">
        <f>ROUND(C48*E48/100,2)-7.5</f>
        <v>193.56</v>
      </c>
      <c r="G48" s="148">
        <f t="shared" si="4"/>
        <v>-56.41999999999999</v>
      </c>
      <c r="H48" s="85"/>
      <c r="I48" s="175" t="s">
        <v>111</v>
      </c>
      <c r="J48" s="97">
        <v>28</v>
      </c>
      <c r="K48" s="229">
        <v>0</v>
      </c>
      <c r="L48" s="98">
        <v>70</v>
      </c>
      <c r="M48" s="98">
        <f>ROUND(J48*L48/100,2)-12</f>
        <v>7.600000000000001</v>
      </c>
      <c r="N48" s="148">
        <f t="shared" si="5"/>
        <v>7.600000000000001</v>
      </c>
    </row>
    <row r="49" spans="2:14" ht="12.75" hidden="1" outlineLevel="1">
      <c r="B49" s="169" t="s">
        <v>180</v>
      </c>
      <c r="C49" s="168">
        <v>561</v>
      </c>
      <c r="D49" s="98">
        <v>994.16</v>
      </c>
      <c r="E49" s="98">
        <v>177</v>
      </c>
      <c r="F49" s="98">
        <f>ROUND(C49*E49/100,2)-7.5</f>
        <v>985.47</v>
      </c>
      <c r="G49" s="148">
        <f t="shared" si="4"/>
        <v>-8.68999999999994</v>
      </c>
      <c r="H49" s="85"/>
      <c r="I49" s="169" t="s">
        <v>61</v>
      </c>
      <c r="J49" s="168">
        <v>2</v>
      </c>
      <c r="K49" s="229">
        <v>5.16</v>
      </c>
      <c r="L49" s="98">
        <v>243.25</v>
      </c>
      <c r="M49" s="98">
        <f>ROUND(J49*L49/100,2)-12</f>
        <v>-7.13</v>
      </c>
      <c r="N49" s="148">
        <f t="shared" si="5"/>
        <v>-12.29</v>
      </c>
    </row>
    <row r="50" spans="2:14" ht="12.75" hidden="1" outlineLevel="1">
      <c r="B50" s="169" t="s">
        <v>184</v>
      </c>
      <c r="C50" s="168">
        <v>755</v>
      </c>
      <c r="D50" s="98">
        <v>1000.74</v>
      </c>
      <c r="E50" s="98">
        <v>118.75</v>
      </c>
      <c r="F50" s="98">
        <f>ROUND(C50*E50/100,2)-7.5</f>
        <v>889.06</v>
      </c>
      <c r="G50" s="148">
        <f t="shared" si="4"/>
        <v>-111.68000000000006</v>
      </c>
      <c r="H50" s="85"/>
      <c r="I50" s="170" t="s">
        <v>94</v>
      </c>
      <c r="J50" s="171">
        <v>364</v>
      </c>
      <c r="K50" s="149">
        <v>1018.01</v>
      </c>
      <c r="L50" s="111">
        <v>140</v>
      </c>
      <c r="M50" s="111">
        <f>ROUND(J50*L50/100,2)-12</f>
        <v>497.6</v>
      </c>
      <c r="N50" s="112">
        <f t="shared" si="5"/>
        <v>-520.41</v>
      </c>
    </row>
    <row r="51" spans="2:14" ht="12.75" hidden="1" outlineLevel="1">
      <c r="B51" s="113" t="s">
        <v>209</v>
      </c>
      <c r="C51" s="174">
        <v>4304</v>
      </c>
      <c r="D51" s="110">
        <v>0</v>
      </c>
      <c r="E51" s="111">
        <v>10.75</v>
      </c>
      <c r="F51" s="111">
        <f>ROUND(C51*E51/100,2)-7.5</f>
        <v>455.18</v>
      </c>
      <c r="G51" s="112">
        <f t="shared" si="4"/>
        <v>455.18</v>
      </c>
      <c r="H51" s="85"/>
      <c r="I51" s="172" t="s">
        <v>126</v>
      </c>
      <c r="J51" s="71"/>
      <c r="K51" s="98">
        <f>SUM(K45:K50)</f>
        <v>4036.2</v>
      </c>
      <c r="L51" s="98"/>
      <c r="M51" s="119">
        <f>SUM(M45:M50)</f>
        <v>2571.8799999999997</v>
      </c>
      <c r="N51" s="116">
        <f>M51-K51</f>
        <v>-1464.3200000000002</v>
      </c>
    </row>
    <row r="52" spans="2:14" ht="12.75" hidden="1" outlineLevel="1">
      <c r="B52" s="172" t="s">
        <v>126</v>
      </c>
      <c r="C52" s="71"/>
      <c r="D52" s="98">
        <f>SUM(D44:D51)</f>
        <v>4775.96</v>
      </c>
      <c r="E52" s="98"/>
      <c r="F52" s="119">
        <f>SUM(F45:F51)</f>
        <v>3870.71</v>
      </c>
      <c r="G52" s="116">
        <f t="shared" si="4"/>
        <v>-905.25</v>
      </c>
      <c r="H52" s="85"/>
      <c r="I52" s="175"/>
      <c r="J52" s="72"/>
      <c r="K52" s="96"/>
      <c r="L52" s="96"/>
      <c r="M52" s="98"/>
      <c r="N52" s="173"/>
    </row>
    <row r="53" spans="2:14" ht="12.75" hidden="1" outlineLevel="1">
      <c r="B53" s="13"/>
      <c r="C53" s="7"/>
      <c r="D53" s="8"/>
      <c r="E53" s="71"/>
      <c r="F53" s="98"/>
      <c r="G53" s="179"/>
      <c r="H53" s="85"/>
      <c r="I53" s="175" t="s">
        <v>221</v>
      </c>
      <c r="J53" s="72"/>
      <c r="K53" s="96"/>
      <c r="L53" s="96"/>
      <c r="M53" s="98">
        <v>18.58</v>
      </c>
      <c r="N53" s="173"/>
    </row>
    <row r="54" spans="2:14" ht="12.75" hidden="1" outlineLevel="1">
      <c r="B54" s="13" t="s">
        <v>172</v>
      </c>
      <c r="C54" s="71"/>
      <c r="D54" s="91"/>
      <c r="E54" s="91"/>
      <c r="F54" s="178">
        <v>-249.98</v>
      </c>
      <c r="G54" s="173"/>
      <c r="H54" s="85"/>
      <c r="I54" s="175" t="s">
        <v>222</v>
      </c>
      <c r="J54" s="71"/>
      <c r="K54" s="71"/>
      <c r="L54" s="71"/>
      <c r="M54" s="97">
        <v>0.56</v>
      </c>
      <c r="N54" s="173"/>
    </row>
    <row r="55" spans="2:14" ht="12.75" hidden="1" outlineLevel="1">
      <c r="B55" s="175" t="s">
        <v>114</v>
      </c>
      <c r="C55" s="91"/>
      <c r="D55" s="91"/>
      <c r="E55" s="97"/>
      <c r="F55" s="178">
        <v>0.02</v>
      </c>
      <c r="G55" s="179"/>
      <c r="H55" s="85"/>
      <c r="I55" s="175" t="s">
        <v>114</v>
      </c>
      <c r="J55" s="91"/>
      <c r="K55" s="91"/>
      <c r="L55" s="97"/>
      <c r="M55" s="178">
        <v>0.02</v>
      </c>
      <c r="N55" s="116"/>
    </row>
    <row r="56" spans="2:14" ht="12.75" hidden="1" outlineLevel="1">
      <c r="B56" s="176" t="s">
        <v>46</v>
      </c>
      <c r="C56" s="177"/>
      <c r="D56" s="88"/>
      <c r="E56" s="88"/>
      <c r="F56" s="178">
        <f>F40</f>
        <v>1795.3799999999999</v>
      </c>
      <c r="G56" s="179"/>
      <c r="H56" s="85"/>
      <c r="I56" s="103" t="s">
        <v>46</v>
      </c>
      <c r="J56" s="71"/>
      <c r="K56" s="96"/>
      <c r="L56" s="96"/>
      <c r="M56" s="98">
        <f>M40</f>
        <v>2107.8999999999996</v>
      </c>
      <c r="N56" s="173"/>
    </row>
    <row r="57" spans="2:14" ht="12.75" hidden="1" outlineLevel="1">
      <c r="B57" s="113" t="s">
        <v>128</v>
      </c>
      <c r="C57" s="190"/>
      <c r="D57" s="190"/>
      <c r="E57" s="191"/>
      <c r="F57" s="257">
        <f>210</f>
        <v>210</v>
      </c>
      <c r="G57" s="192"/>
      <c r="H57" s="71"/>
      <c r="I57" s="113" t="s">
        <v>128</v>
      </c>
      <c r="J57" s="211"/>
      <c r="K57" s="110"/>
      <c r="L57" s="110"/>
      <c r="M57" s="257">
        <v>210</v>
      </c>
      <c r="N57" s="207"/>
    </row>
    <row r="58" spans="2:15" ht="12.75" hidden="1" outlineLevel="1">
      <c r="B58" s="117" t="s">
        <v>127</v>
      </c>
      <c r="C58" s="177"/>
      <c r="D58" s="177"/>
      <c r="E58" s="88"/>
      <c r="F58" s="119">
        <f>SUM(F54:F57)</f>
        <v>1755.4199999999998</v>
      </c>
      <c r="G58" s="88"/>
      <c r="H58" s="85"/>
      <c r="I58" s="117" t="s">
        <v>127</v>
      </c>
      <c r="J58" s="71"/>
      <c r="K58" s="96"/>
      <c r="L58" s="96"/>
      <c r="M58" s="180">
        <f>SUM(M53:M57)</f>
        <v>2337.0599999999995</v>
      </c>
      <c r="N58" s="91"/>
      <c r="O58" s="138">
        <f>F58+M58</f>
        <v>4092.4799999999996</v>
      </c>
    </row>
    <row r="59" spans="2:15" ht="12.75" collapsed="1">
      <c r="B59" s="181" t="s">
        <v>36</v>
      </c>
      <c r="C59" s="177"/>
      <c r="D59" s="177"/>
      <c r="E59" s="88"/>
      <c r="F59" s="119">
        <f>F52+F58</f>
        <v>5626.13</v>
      </c>
      <c r="G59" s="88"/>
      <c r="H59" s="71"/>
      <c r="I59" s="181" t="s">
        <v>36</v>
      </c>
      <c r="J59" s="72"/>
      <c r="K59" s="96"/>
      <c r="L59" s="96"/>
      <c r="M59" s="119">
        <f>M51+M58</f>
        <v>4908.939999999999</v>
      </c>
      <c r="N59" s="91"/>
      <c r="O59" s="138">
        <f>F59+M59</f>
        <v>10535.07</v>
      </c>
    </row>
    <row r="60" spans="5:14" ht="12.75">
      <c r="E60" s="85"/>
      <c r="F60" s="85"/>
      <c r="G60" s="85"/>
      <c r="H60" s="85"/>
      <c r="I60" s="85"/>
      <c r="J60" s="85"/>
      <c r="K60" s="85"/>
      <c r="L60" s="85"/>
      <c r="M60" s="85"/>
      <c r="N60" s="85"/>
    </row>
    <row r="61" spans="2:15" ht="12.75">
      <c r="B61" s="85"/>
      <c r="C61" s="200"/>
      <c r="D61" s="106"/>
      <c r="E61" s="106"/>
      <c r="F61" s="106"/>
      <c r="G61" s="283" t="s">
        <v>223</v>
      </c>
      <c r="H61" s="283"/>
      <c r="I61" s="283"/>
      <c r="J61" s="107"/>
      <c r="K61" s="107"/>
      <c r="L61" s="107"/>
      <c r="M61" s="107"/>
      <c r="N61" s="107"/>
      <c r="O61" s="129"/>
    </row>
    <row r="62" spans="2:14" ht="12.75" hidden="1" outlineLevel="1">
      <c r="B62" s="209" t="s">
        <v>65</v>
      </c>
      <c r="C62" s="209" t="s">
        <v>66</v>
      </c>
      <c r="D62" s="210" t="s">
        <v>47</v>
      </c>
      <c r="E62" s="180" t="s">
        <v>67</v>
      </c>
      <c r="F62" s="180" t="s">
        <v>129</v>
      </c>
      <c r="G62" s="210" t="s">
        <v>125</v>
      </c>
      <c r="H62" s="85"/>
      <c r="I62" s="209" t="s">
        <v>65</v>
      </c>
      <c r="J62" s="209" t="s">
        <v>66</v>
      </c>
      <c r="K62" s="210" t="s">
        <v>47</v>
      </c>
      <c r="L62" s="180" t="s">
        <v>67</v>
      </c>
      <c r="M62" s="180" t="s">
        <v>129</v>
      </c>
      <c r="N62" s="210" t="s">
        <v>125</v>
      </c>
    </row>
    <row r="63" spans="2:14" ht="12.75" hidden="1" outlineLevel="1">
      <c r="B63" s="245" t="s">
        <v>174</v>
      </c>
      <c r="C63" s="187">
        <v>4304</v>
      </c>
      <c r="D63" s="188">
        <v>999.99</v>
      </c>
      <c r="E63" s="184">
        <v>4.75</v>
      </c>
      <c r="F63" s="184">
        <f>ROUND(C63*E63/100,2)-7.5</f>
        <v>196.94</v>
      </c>
      <c r="G63" s="189">
        <f aca="true" t="shared" si="6" ref="G63:G69">F63-D63</f>
        <v>-803.05</v>
      </c>
      <c r="H63" s="85"/>
      <c r="I63" s="225" t="s">
        <v>32</v>
      </c>
      <c r="J63" s="187">
        <v>1747</v>
      </c>
      <c r="K63" s="184">
        <v>999.5</v>
      </c>
      <c r="L63" s="184">
        <v>30</v>
      </c>
      <c r="M63" s="184">
        <f>ROUND(J63*L63/100,2)-7.5</f>
        <v>516.6</v>
      </c>
      <c r="N63" s="189">
        <f aca="true" t="shared" si="7" ref="N63:N68">M63-K63</f>
        <v>-482.9</v>
      </c>
    </row>
    <row r="64" spans="2:14" ht="12.75" hidden="1" outlineLevel="1">
      <c r="B64" s="244" t="s">
        <v>210</v>
      </c>
      <c r="C64" s="100">
        <v>242</v>
      </c>
      <c r="D64" s="94">
        <v>515.44</v>
      </c>
      <c r="E64" s="98">
        <v>5.5</v>
      </c>
      <c r="F64" s="98">
        <f>ROUND(C64*E64/100,2)-12</f>
        <v>1.3100000000000005</v>
      </c>
      <c r="G64" s="148">
        <f t="shared" si="6"/>
        <v>-514.1300000000001</v>
      </c>
      <c r="H64" s="85"/>
      <c r="I64" s="169" t="s">
        <v>193</v>
      </c>
      <c r="J64" s="168">
        <v>202</v>
      </c>
      <c r="K64" s="98">
        <v>995.61</v>
      </c>
      <c r="L64" s="98">
        <v>390</v>
      </c>
      <c r="M64" s="98">
        <f>ROUND(J64*L64/100,2)-7.5</f>
        <v>780.3</v>
      </c>
      <c r="N64" s="148">
        <f t="shared" si="7"/>
        <v>-215.31000000000006</v>
      </c>
    </row>
    <row r="65" spans="2:14" ht="12.75" hidden="1" outlineLevel="1">
      <c r="B65" s="103" t="s">
        <v>118</v>
      </c>
      <c r="C65" s="100">
        <v>255</v>
      </c>
      <c r="D65" s="96">
        <v>1015.65</v>
      </c>
      <c r="E65" s="98">
        <v>345</v>
      </c>
      <c r="F65" s="98">
        <f>ROUND(C65*E65/100,2)-12</f>
        <v>867.75</v>
      </c>
      <c r="G65" s="148">
        <f t="shared" si="6"/>
        <v>-147.89999999999998</v>
      </c>
      <c r="H65" s="85"/>
      <c r="I65" s="169" t="s">
        <v>157</v>
      </c>
      <c r="J65" s="234">
        <v>280</v>
      </c>
      <c r="K65" s="235">
        <v>1017.92</v>
      </c>
      <c r="L65" s="236">
        <v>148</v>
      </c>
      <c r="M65" s="98">
        <f>ROUND(J65*L65/100,2)-12</f>
        <v>402.4</v>
      </c>
      <c r="N65" s="148">
        <f t="shared" si="7"/>
        <v>-615.52</v>
      </c>
    </row>
    <row r="66" spans="2:14" ht="12.75" hidden="1" outlineLevel="1">
      <c r="B66" s="169" t="s">
        <v>152</v>
      </c>
      <c r="C66" s="168">
        <v>5090</v>
      </c>
      <c r="D66" s="98">
        <v>249.98</v>
      </c>
      <c r="E66" s="98">
        <v>3.4</v>
      </c>
      <c r="F66" s="98">
        <f>ROUND(C66*E66/100,2)-7.5</f>
        <v>165.56</v>
      </c>
      <c r="G66" s="148">
        <f t="shared" si="6"/>
        <v>-84.41999999999999</v>
      </c>
      <c r="H66" s="85"/>
      <c r="I66" s="175" t="s">
        <v>111</v>
      </c>
      <c r="J66" s="97">
        <v>28</v>
      </c>
      <c r="K66" s="229">
        <v>0</v>
      </c>
      <c r="L66" s="98">
        <v>68</v>
      </c>
      <c r="M66" s="98">
        <f>ROUND(J66*L66/100,2)-12</f>
        <v>7.039999999999999</v>
      </c>
      <c r="N66" s="148">
        <f t="shared" si="7"/>
        <v>7.039999999999999</v>
      </c>
    </row>
    <row r="67" spans="2:14" ht="12.75" hidden="1" outlineLevel="1">
      <c r="B67" s="169" t="s">
        <v>184</v>
      </c>
      <c r="C67" s="168">
        <v>755</v>
      </c>
      <c r="D67" s="98">
        <v>1000.74</v>
      </c>
      <c r="E67" s="98">
        <v>88</v>
      </c>
      <c r="F67" s="98">
        <f>ROUND(C67*E67/100,2)-7.5</f>
        <v>656.9</v>
      </c>
      <c r="G67" s="148">
        <f t="shared" si="6"/>
        <v>-343.84000000000003</v>
      </c>
      <c r="H67" s="85"/>
      <c r="I67" s="169" t="s">
        <v>61</v>
      </c>
      <c r="J67" s="168">
        <v>2</v>
      </c>
      <c r="K67" s="229">
        <v>5.16</v>
      </c>
      <c r="L67" s="98">
        <v>208.5</v>
      </c>
      <c r="M67" s="98">
        <f>ROUND(J67*L67/100,2)-12</f>
        <v>-7.83</v>
      </c>
      <c r="N67" s="148">
        <f t="shared" si="7"/>
        <v>-12.99</v>
      </c>
    </row>
    <row r="68" spans="2:14" ht="12.75" hidden="1" outlineLevel="1">
      <c r="B68" s="113" t="s">
        <v>209</v>
      </c>
      <c r="C68" s="174">
        <v>4304</v>
      </c>
      <c r="D68" s="110">
        <v>0</v>
      </c>
      <c r="E68" s="111">
        <v>8.5</v>
      </c>
      <c r="F68" s="111">
        <f>ROUND(C68*E68/100,2)-7.5</f>
        <v>358.34</v>
      </c>
      <c r="G68" s="112">
        <f t="shared" si="6"/>
        <v>358.34</v>
      </c>
      <c r="H68" s="85"/>
      <c r="I68" s="170" t="s">
        <v>94</v>
      </c>
      <c r="J68" s="171">
        <v>364</v>
      </c>
      <c r="K68" s="149">
        <v>1018.01</v>
      </c>
      <c r="L68" s="111">
        <v>115</v>
      </c>
      <c r="M68" s="111">
        <f>ROUND(J68*L68/100,2)-12</f>
        <v>406.6</v>
      </c>
      <c r="N68" s="112">
        <f t="shared" si="7"/>
        <v>-611.41</v>
      </c>
    </row>
    <row r="69" spans="2:14" ht="12.75" hidden="1" outlineLevel="1">
      <c r="B69" s="226" t="s">
        <v>126</v>
      </c>
      <c r="C69" s="227"/>
      <c r="D69" s="184">
        <f>SUM(D62:D68)</f>
        <v>3781.8</v>
      </c>
      <c r="E69" s="184"/>
      <c r="F69" s="228">
        <f>SUM(F63:F68)</f>
        <v>2246.8</v>
      </c>
      <c r="G69" s="185">
        <f t="shared" si="6"/>
        <v>-1535</v>
      </c>
      <c r="H69" s="85"/>
      <c r="I69" s="172" t="s">
        <v>126</v>
      </c>
      <c r="J69" s="71"/>
      <c r="K69" s="98">
        <f>SUM(K63:K68)</f>
        <v>4036.2</v>
      </c>
      <c r="L69" s="98"/>
      <c r="M69" s="119">
        <f>SUM(M63:M68)</f>
        <v>2105.11</v>
      </c>
      <c r="N69" s="116">
        <f>M69-K69</f>
        <v>-1931.0899999999997</v>
      </c>
    </row>
    <row r="70" spans="2:14" ht="12.75" hidden="1" outlineLevel="1">
      <c r="B70" s="172"/>
      <c r="C70" s="71"/>
      <c r="D70" s="98"/>
      <c r="E70" s="98"/>
      <c r="F70" s="119"/>
      <c r="G70" s="116"/>
      <c r="H70" s="85"/>
      <c r="I70" s="175"/>
      <c r="J70" s="72"/>
      <c r="K70" s="96"/>
      <c r="L70" s="96"/>
      <c r="M70" s="98"/>
      <c r="N70" s="173"/>
    </row>
    <row r="71" spans="2:14" ht="12.75" hidden="1" outlineLevel="1">
      <c r="B71" s="175" t="s">
        <v>224</v>
      </c>
      <c r="C71" s="71"/>
      <c r="D71" s="91"/>
      <c r="E71" s="91"/>
      <c r="F71" s="178">
        <v>918.15</v>
      </c>
      <c r="G71" s="179"/>
      <c r="H71" s="71"/>
      <c r="I71" s="175" t="s">
        <v>165</v>
      </c>
      <c r="J71" s="71"/>
      <c r="K71" s="91"/>
      <c r="L71" s="71"/>
      <c r="M71" s="97">
        <v>0.08</v>
      </c>
      <c r="N71" s="173"/>
    </row>
    <row r="72" spans="2:14" ht="12.75" hidden="1" outlineLevel="1">
      <c r="B72" s="13" t="s">
        <v>179</v>
      </c>
      <c r="C72" s="7"/>
      <c r="D72" s="8"/>
      <c r="E72" s="71"/>
      <c r="F72" s="97">
        <v>0.01</v>
      </c>
      <c r="G72" s="179"/>
      <c r="H72" s="85"/>
      <c r="I72" s="175" t="s">
        <v>179</v>
      </c>
      <c r="J72" s="71"/>
      <c r="K72" s="91"/>
      <c r="L72" s="71"/>
      <c r="M72" s="97">
        <v>0.01</v>
      </c>
      <c r="N72" s="173"/>
    </row>
    <row r="73" spans="2:14" ht="12.75" hidden="1" outlineLevel="1">
      <c r="B73" s="176" t="s">
        <v>46</v>
      </c>
      <c r="C73" s="177"/>
      <c r="D73" s="88"/>
      <c r="E73" s="88"/>
      <c r="F73" s="178">
        <f>F58</f>
        <v>1755.4199999999998</v>
      </c>
      <c r="G73" s="179"/>
      <c r="H73" s="85"/>
      <c r="I73" s="103" t="s">
        <v>46</v>
      </c>
      <c r="J73" s="71"/>
      <c r="K73" s="96"/>
      <c r="L73" s="96"/>
      <c r="M73" s="98">
        <f>M58</f>
        <v>2337.0599999999995</v>
      </c>
      <c r="N73" s="173"/>
    </row>
    <row r="74" spans="2:15" ht="12.75" hidden="1" outlineLevel="1">
      <c r="B74" s="113" t="s">
        <v>128</v>
      </c>
      <c r="C74" s="190"/>
      <c r="D74" s="190"/>
      <c r="E74" s="191"/>
      <c r="F74" s="257">
        <v>210</v>
      </c>
      <c r="G74" s="192"/>
      <c r="H74" s="71"/>
      <c r="I74" s="113" t="s">
        <v>128</v>
      </c>
      <c r="J74" s="211"/>
      <c r="K74" s="110"/>
      <c r="L74" s="110"/>
      <c r="M74" s="257">
        <v>210</v>
      </c>
      <c r="N74" s="207"/>
      <c r="O74" s="129"/>
    </row>
    <row r="75" spans="2:15" ht="12.75" hidden="1" outlineLevel="1">
      <c r="B75" s="117" t="s">
        <v>127</v>
      </c>
      <c r="C75" s="177"/>
      <c r="D75" s="177"/>
      <c r="E75" s="88"/>
      <c r="F75" s="119">
        <f>SUM(F71:F74)</f>
        <v>2883.58</v>
      </c>
      <c r="G75" s="88"/>
      <c r="H75" s="71"/>
      <c r="I75" s="117" t="s">
        <v>127</v>
      </c>
      <c r="J75" s="71"/>
      <c r="K75" s="96"/>
      <c r="L75" s="96"/>
      <c r="M75" s="180">
        <f>SUM(M71:M74)</f>
        <v>2547.1499999999996</v>
      </c>
      <c r="N75" s="91"/>
      <c r="O75" s="138">
        <f>F75+M75</f>
        <v>5430.73</v>
      </c>
    </row>
    <row r="76" spans="2:15" ht="12.75" collapsed="1">
      <c r="B76" s="181" t="s">
        <v>36</v>
      </c>
      <c r="C76" s="177"/>
      <c r="D76" s="177"/>
      <c r="E76" s="88"/>
      <c r="F76" s="119">
        <f>F69+F75</f>
        <v>5130.38</v>
      </c>
      <c r="G76" s="88"/>
      <c r="H76" s="85"/>
      <c r="I76" s="181" t="s">
        <v>36</v>
      </c>
      <c r="J76" s="72"/>
      <c r="K76" s="96"/>
      <c r="L76" s="96"/>
      <c r="M76" s="119">
        <f>M69+M75</f>
        <v>4652.26</v>
      </c>
      <c r="N76" s="91"/>
      <c r="O76" s="138">
        <f>F76+M76</f>
        <v>9782.64</v>
      </c>
    </row>
    <row r="77" spans="2:14" ht="12.75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</row>
    <row r="78" spans="2:14" ht="12.75">
      <c r="B78" s="85"/>
      <c r="C78" s="200"/>
      <c r="D78" s="106"/>
      <c r="E78" s="106"/>
      <c r="F78" s="106"/>
      <c r="G78" s="283" t="s">
        <v>227</v>
      </c>
      <c r="H78" s="283"/>
      <c r="I78" s="283"/>
      <c r="J78" s="85"/>
      <c r="K78" s="85"/>
      <c r="L78" s="85"/>
      <c r="M78" s="85"/>
      <c r="N78" s="85"/>
    </row>
    <row r="79" spans="2:14" ht="12.75" hidden="1" outlineLevel="1">
      <c r="B79" s="209" t="s">
        <v>65</v>
      </c>
      <c r="C79" s="209" t="s">
        <v>66</v>
      </c>
      <c r="D79" s="210" t="s">
        <v>47</v>
      </c>
      <c r="E79" s="180" t="s">
        <v>67</v>
      </c>
      <c r="F79" s="180" t="s">
        <v>129</v>
      </c>
      <c r="G79" s="210" t="s">
        <v>125</v>
      </c>
      <c r="H79" s="200"/>
      <c r="I79" s="209" t="s">
        <v>65</v>
      </c>
      <c r="J79" s="209" t="s">
        <v>66</v>
      </c>
      <c r="K79" s="210" t="s">
        <v>47</v>
      </c>
      <c r="L79" s="180" t="s">
        <v>67</v>
      </c>
      <c r="M79" s="180" t="s">
        <v>129</v>
      </c>
      <c r="N79" s="210" t="s">
        <v>125</v>
      </c>
    </row>
    <row r="80" spans="2:17" ht="12.75" hidden="1" outlineLevel="1">
      <c r="B80" s="245" t="s">
        <v>174</v>
      </c>
      <c r="C80" s="187">
        <v>4304</v>
      </c>
      <c r="D80" s="188">
        <v>999.99</v>
      </c>
      <c r="E80" s="184">
        <v>4.5</v>
      </c>
      <c r="F80" s="184">
        <f>ROUND(C80*E80/100,2)-7.5</f>
        <v>186.18</v>
      </c>
      <c r="G80" s="189">
        <f aca="true" t="shared" si="8" ref="G80:G85">F80-D80</f>
        <v>-813.81</v>
      </c>
      <c r="H80" s="85"/>
      <c r="I80" s="225" t="s">
        <v>32</v>
      </c>
      <c r="J80" s="187">
        <v>1747</v>
      </c>
      <c r="K80" s="184">
        <v>999.5</v>
      </c>
      <c r="L80" s="184">
        <v>30</v>
      </c>
      <c r="M80" s="184">
        <f>ROUND(J80*L80/100,2)-7.5</f>
        <v>516.6</v>
      </c>
      <c r="N80" s="189">
        <f aca="true" t="shared" si="9" ref="N80:N85">M80-K80</f>
        <v>-482.9</v>
      </c>
      <c r="P80" s="92"/>
      <c r="Q80" s="83"/>
    </row>
    <row r="81" spans="2:17" ht="12.75" hidden="1" outlineLevel="1">
      <c r="B81" s="244" t="s">
        <v>210</v>
      </c>
      <c r="C81" s="100">
        <v>242</v>
      </c>
      <c r="D81" s="94">
        <v>515.44</v>
      </c>
      <c r="E81" s="98">
        <v>6.5</v>
      </c>
      <c r="F81" s="98">
        <f>ROUND(C81*E81/100,2)-12</f>
        <v>3.7300000000000004</v>
      </c>
      <c r="G81" s="148">
        <f t="shared" si="8"/>
        <v>-511.71000000000004</v>
      </c>
      <c r="H81" s="85"/>
      <c r="I81" s="169" t="s">
        <v>193</v>
      </c>
      <c r="J81" s="168">
        <v>202</v>
      </c>
      <c r="K81" s="98">
        <v>995.61</v>
      </c>
      <c r="L81" s="98">
        <v>445</v>
      </c>
      <c r="M81" s="98">
        <f>ROUND(J81*L81/100,2)-7.5</f>
        <v>891.4</v>
      </c>
      <c r="N81" s="148">
        <f t="shared" si="9"/>
        <v>-104.21000000000004</v>
      </c>
      <c r="P81" s="92"/>
      <c r="Q81" s="83"/>
    </row>
    <row r="82" spans="2:17" ht="12.75" hidden="1" outlineLevel="1">
      <c r="B82" s="103" t="s">
        <v>118</v>
      </c>
      <c r="C82" s="100">
        <v>255</v>
      </c>
      <c r="D82" s="96">
        <v>1015.65</v>
      </c>
      <c r="E82" s="98">
        <v>385</v>
      </c>
      <c r="F82" s="98">
        <f>ROUND(C82*E82/100,2)-12</f>
        <v>969.75</v>
      </c>
      <c r="G82" s="148">
        <f t="shared" si="8"/>
        <v>-45.89999999999998</v>
      </c>
      <c r="H82" s="85"/>
      <c r="I82" s="169" t="s">
        <v>157</v>
      </c>
      <c r="J82" s="234">
        <v>280</v>
      </c>
      <c r="K82" s="235">
        <v>1017.92</v>
      </c>
      <c r="L82" s="236">
        <v>124</v>
      </c>
      <c r="M82" s="98">
        <f>ROUND(J82*L82/100,2)-12</f>
        <v>335.2</v>
      </c>
      <c r="N82" s="148">
        <f t="shared" si="9"/>
        <v>-682.72</v>
      </c>
      <c r="Q82" s="83"/>
    </row>
    <row r="83" spans="2:17" ht="12.75" hidden="1" outlineLevel="1">
      <c r="B83" s="169" t="s">
        <v>152</v>
      </c>
      <c r="C83" s="168">
        <v>5090</v>
      </c>
      <c r="D83" s="98">
        <v>249.98</v>
      </c>
      <c r="E83" s="98">
        <v>1.67</v>
      </c>
      <c r="F83" s="98">
        <f>ROUND(C83*E83/100,2)-7.5</f>
        <v>77.5</v>
      </c>
      <c r="G83" s="148">
        <f t="shared" si="8"/>
        <v>-172.48</v>
      </c>
      <c r="H83" s="85"/>
      <c r="I83" s="175" t="s">
        <v>111</v>
      </c>
      <c r="J83" s="97">
        <v>28</v>
      </c>
      <c r="K83" s="229">
        <v>0</v>
      </c>
      <c r="L83" s="98">
        <v>55</v>
      </c>
      <c r="M83" s="98">
        <f>ROUND(J83*L83/100,2)-12</f>
        <v>3.4000000000000004</v>
      </c>
      <c r="N83" s="148">
        <f t="shared" si="9"/>
        <v>3.4000000000000004</v>
      </c>
      <c r="P83" s="92"/>
      <c r="Q83" s="83"/>
    </row>
    <row r="84" spans="2:17" ht="12.75" hidden="1" outlineLevel="1">
      <c r="B84" s="169" t="s">
        <v>184</v>
      </c>
      <c r="C84" s="168">
        <v>755</v>
      </c>
      <c r="D84" s="98">
        <v>1000.74</v>
      </c>
      <c r="E84" s="98">
        <v>98.5</v>
      </c>
      <c r="F84" s="98">
        <f>ROUND(C84*E84/100,2)-7.5</f>
        <v>736.18</v>
      </c>
      <c r="G84" s="148">
        <f t="shared" si="8"/>
        <v>-264.56000000000006</v>
      </c>
      <c r="H84" s="85"/>
      <c r="I84" s="169" t="s">
        <v>61</v>
      </c>
      <c r="J84" s="168">
        <v>2</v>
      </c>
      <c r="K84" s="229">
        <v>5.16</v>
      </c>
      <c r="L84" s="98">
        <v>211.5</v>
      </c>
      <c r="M84" s="98">
        <f>ROUND(J84*L84/100,2)-12</f>
        <v>-7.77</v>
      </c>
      <c r="N84" s="148">
        <f t="shared" si="9"/>
        <v>-12.93</v>
      </c>
      <c r="P84" s="92"/>
      <c r="Q84" s="83"/>
    </row>
    <row r="85" spans="2:17" ht="12.75" hidden="1" outlineLevel="1">
      <c r="B85" s="113" t="s">
        <v>209</v>
      </c>
      <c r="C85" s="174">
        <v>4304</v>
      </c>
      <c r="D85" s="110">
        <v>0</v>
      </c>
      <c r="E85" s="111">
        <v>9.75</v>
      </c>
      <c r="F85" s="111">
        <f>ROUND(C85*E85/100,2)-7.5</f>
        <v>412.14</v>
      </c>
      <c r="G85" s="112">
        <f t="shared" si="8"/>
        <v>412.14</v>
      </c>
      <c r="H85" s="85"/>
      <c r="I85" s="170" t="s">
        <v>94</v>
      </c>
      <c r="J85" s="171">
        <v>364</v>
      </c>
      <c r="K85" s="149">
        <v>1018.01</v>
      </c>
      <c r="L85" s="111">
        <v>100</v>
      </c>
      <c r="M85" s="111">
        <f>ROUND(J85*L85/100,2)-12</f>
        <v>352</v>
      </c>
      <c r="N85" s="112">
        <f t="shared" si="9"/>
        <v>-666.01</v>
      </c>
      <c r="P85" s="92"/>
      <c r="Q85" s="83"/>
    </row>
    <row r="86" spans="2:17" ht="12.75" hidden="1" outlineLevel="1">
      <c r="B86" s="226" t="s">
        <v>126</v>
      </c>
      <c r="C86" s="227"/>
      <c r="D86" s="184">
        <f>SUM(D79:D85)</f>
        <v>3781.8</v>
      </c>
      <c r="E86" s="184"/>
      <c r="F86" s="228">
        <f>SUM(F79:F85)</f>
        <v>2385.48</v>
      </c>
      <c r="G86" s="185">
        <f>F86-D86</f>
        <v>-1396.3200000000002</v>
      </c>
      <c r="H86" s="85"/>
      <c r="I86" s="226" t="s">
        <v>126</v>
      </c>
      <c r="J86" s="227"/>
      <c r="K86" s="184">
        <f>SUM(K80:K85)</f>
        <v>4036.2</v>
      </c>
      <c r="L86" s="184"/>
      <c r="M86" s="228">
        <f>SUM(M80:M85)</f>
        <v>2090.83</v>
      </c>
      <c r="N86" s="185">
        <f>M86-K86</f>
        <v>-1945.37</v>
      </c>
      <c r="P86" s="92"/>
      <c r="Q86" s="83"/>
    </row>
    <row r="87" spans="2:17" ht="12.75" hidden="1" outlineLevel="1">
      <c r="B87" s="172"/>
      <c r="C87" s="71"/>
      <c r="D87" s="98"/>
      <c r="E87" s="98"/>
      <c r="F87" s="119"/>
      <c r="G87" s="116"/>
      <c r="H87" s="85"/>
      <c r="I87" s="172"/>
      <c r="J87" s="71"/>
      <c r="K87" s="98"/>
      <c r="L87" s="98"/>
      <c r="M87" s="119"/>
      <c r="N87" s="116"/>
      <c r="P87" s="92"/>
      <c r="Q87" s="83"/>
    </row>
    <row r="88" spans="2:17" ht="12.75" hidden="1" outlineLevel="1">
      <c r="B88" s="175"/>
      <c r="C88" s="91"/>
      <c r="D88" s="91"/>
      <c r="E88" s="97"/>
      <c r="F88" s="178"/>
      <c r="G88" s="179"/>
      <c r="H88" s="85"/>
      <c r="I88" s="175" t="s">
        <v>225</v>
      </c>
      <c r="J88" s="91"/>
      <c r="K88" s="91"/>
      <c r="L88" s="97"/>
      <c r="M88" s="178">
        <v>13.97</v>
      </c>
      <c r="N88" s="116"/>
      <c r="P88" s="1"/>
      <c r="Q88" s="83"/>
    </row>
    <row r="89" spans="2:17" ht="12.75" hidden="1" outlineLevel="1">
      <c r="B89" s="175" t="s">
        <v>115</v>
      </c>
      <c r="C89" s="98"/>
      <c r="D89" s="98"/>
      <c r="E89" s="71"/>
      <c r="F89" s="98">
        <v>0</v>
      </c>
      <c r="G89" s="179"/>
      <c r="H89" s="85"/>
      <c r="I89" s="175" t="s">
        <v>115</v>
      </c>
      <c r="J89" s="98"/>
      <c r="K89" s="98"/>
      <c r="L89" s="97"/>
      <c r="M89" s="98">
        <f>0.01</f>
        <v>0.01</v>
      </c>
      <c r="N89" s="173"/>
      <c r="Q89" s="83"/>
    </row>
    <row r="90" spans="2:17" ht="12.75" hidden="1" outlineLevel="1">
      <c r="B90" s="176" t="s">
        <v>46</v>
      </c>
      <c r="C90" s="177"/>
      <c r="D90" s="88"/>
      <c r="E90" s="88"/>
      <c r="F90" s="178">
        <f>F75</f>
        <v>2883.58</v>
      </c>
      <c r="G90" s="179"/>
      <c r="H90" s="85"/>
      <c r="I90" s="103" t="s">
        <v>46</v>
      </c>
      <c r="J90" s="71"/>
      <c r="K90" s="96"/>
      <c r="L90" s="96"/>
      <c r="M90" s="98">
        <f>M75</f>
        <v>2547.1499999999996</v>
      </c>
      <c r="N90" s="173"/>
      <c r="P90" s="92"/>
      <c r="Q90" s="83"/>
    </row>
    <row r="91" spans="2:17" ht="12.75" hidden="1" outlineLevel="1">
      <c r="B91" s="113" t="s">
        <v>128</v>
      </c>
      <c r="C91" s="190"/>
      <c r="D91" s="190"/>
      <c r="E91" s="191"/>
      <c r="F91" s="257">
        <f>210</f>
        <v>210</v>
      </c>
      <c r="G91" s="192"/>
      <c r="H91" s="85"/>
      <c r="I91" s="113" t="s">
        <v>128</v>
      </c>
      <c r="J91" s="211"/>
      <c r="K91" s="110"/>
      <c r="L91" s="110"/>
      <c r="M91" s="257">
        <f>210</f>
        <v>210</v>
      </c>
      <c r="N91" s="207"/>
      <c r="Q91" s="91"/>
    </row>
    <row r="92" spans="2:17" ht="12.75" hidden="1" outlineLevel="1">
      <c r="B92" s="117" t="s">
        <v>127</v>
      </c>
      <c r="C92" s="177"/>
      <c r="D92" s="177"/>
      <c r="E92" s="88"/>
      <c r="F92" s="119">
        <f>SUM(F88:F91)</f>
        <v>3093.58</v>
      </c>
      <c r="G92" s="88"/>
      <c r="H92" s="71"/>
      <c r="I92" s="117" t="s">
        <v>127</v>
      </c>
      <c r="J92" s="71"/>
      <c r="K92" s="96"/>
      <c r="L92" s="96"/>
      <c r="M92" s="180">
        <f>SUM(M88:M91)</f>
        <v>2771.1299999999997</v>
      </c>
      <c r="N92" s="91"/>
      <c r="O92" s="138">
        <f>F92+M92</f>
        <v>5864.709999999999</v>
      </c>
      <c r="Q92" s="7"/>
    </row>
    <row r="93" spans="2:15" ht="12.75" collapsed="1">
      <c r="B93" s="181" t="s">
        <v>36</v>
      </c>
      <c r="C93" s="177"/>
      <c r="D93" s="177"/>
      <c r="E93" s="88"/>
      <c r="F93" s="119">
        <f>F86+F92</f>
        <v>5479.0599999999995</v>
      </c>
      <c r="G93" s="88"/>
      <c r="H93" s="71"/>
      <c r="I93" s="181" t="s">
        <v>36</v>
      </c>
      <c r="J93" s="72"/>
      <c r="K93" s="96"/>
      <c r="L93" s="96"/>
      <c r="M93" s="119">
        <f>M86+M92</f>
        <v>4861.959999999999</v>
      </c>
      <c r="N93" s="91"/>
      <c r="O93" s="138">
        <f>F93+M93</f>
        <v>10341.019999999999</v>
      </c>
    </row>
    <row r="94" spans="5:14" ht="12.75">
      <c r="E94" s="85"/>
      <c r="F94" s="85"/>
      <c r="G94" s="85"/>
      <c r="H94" s="71"/>
      <c r="I94" s="85"/>
      <c r="J94" s="85"/>
      <c r="K94" s="85"/>
      <c r="L94" s="85"/>
      <c r="M94" s="85"/>
      <c r="N94" s="85"/>
    </row>
    <row r="95" spans="2:14" ht="12.75" customHeight="1">
      <c r="B95" s="85"/>
      <c r="C95" s="200"/>
      <c r="D95" s="106"/>
      <c r="E95" s="106"/>
      <c r="F95" s="106"/>
      <c r="G95" s="283" t="s">
        <v>231</v>
      </c>
      <c r="H95" s="283"/>
      <c r="I95" s="283"/>
      <c r="J95" s="85"/>
      <c r="K95" s="85"/>
      <c r="L95" s="85"/>
      <c r="M95" s="85"/>
      <c r="N95" s="85"/>
    </row>
    <row r="96" spans="2:14" ht="12.75" hidden="1" outlineLevel="1">
      <c r="B96" s="209" t="s">
        <v>65</v>
      </c>
      <c r="C96" s="209" t="s">
        <v>66</v>
      </c>
      <c r="D96" s="210" t="s">
        <v>47</v>
      </c>
      <c r="E96" s="180" t="s">
        <v>67</v>
      </c>
      <c r="F96" s="180" t="s">
        <v>129</v>
      </c>
      <c r="G96" s="210" t="s">
        <v>125</v>
      </c>
      <c r="H96" s="85"/>
      <c r="I96" s="209" t="s">
        <v>65</v>
      </c>
      <c r="J96" s="209" t="s">
        <v>66</v>
      </c>
      <c r="K96" s="210" t="s">
        <v>47</v>
      </c>
      <c r="L96" s="180" t="s">
        <v>67</v>
      </c>
      <c r="M96" s="180" t="s">
        <v>129</v>
      </c>
      <c r="N96" s="210" t="s">
        <v>125</v>
      </c>
    </row>
    <row r="97" spans="2:14" ht="12.75" hidden="1" outlineLevel="1">
      <c r="B97" s="245" t="s">
        <v>174</v>
      </c>
      <c r="C97" s="187">
        <v>4304</v>
      </c>
      <c r="D97" s="188">
        <v>999.99</v>
      </c>
      <c r="E97" s="184">
        <v>2.75</v>
      </c>
      <c r="F97" s="184">
        <f>ROUND(C97*E97/100,2)-7.5</f>
        <v>110.86</v>
      </c>
      <c r="G97" s="189">
        <f aca="true" t="shared" si="10" ref="G97:G102">F97-D97</f>
        <v>-889.13</v>
      </c>
      <c r="H97" s="200"/>
      <c r="I97" s="225" t="s">
        <v>32</v>
      </c>
      <c r="J97" s="187">
        <v>1747</v>
      </c>
      <c r="K97" s="184">
        <v>999.5</v>
      </c>
      <c r="L97" s="184">
        <v>24</v>
      </c>
      <c r="M97" s="184">
        <f>ROUND(J97*L97/100,2)-7.5</f>
        <v>411.78</v>
      </c>
      <c r="N97" s="189">
        <f aca="true" t="shared" si="11" ref="N97:N103">M97-K97</f>
        <v>-587.72</v>
      </c>
    </row>
    <row r="98" spans="2:14" ht="12.75" hidden="1" outlineLevel="1">
      <c r="B98" s="103" t="s">
        <v>235</v>
      </c>
      <c r="C98" s="168">
        <v>650</v>
      </c>
      <c r="D98" s="96">
        <v>1003.31</v>
      </c>
      <c r="E98" s="98">
        <v>135</v>
      </c>
      <c r="F98" s="98">
        <f>ROUND(C98*E98/100,2)-7.5</f>
        <v>870</v>
      </c>
      <c r="G98" s="148">
        <f>F98-D98</f>
        <v>-133.30999999999995</v>
      </c>
      <c r="H98" s="200"/>
      <c r="I98" s="169" t="s">
        <v>152</v>
      </c>
      <c r="J98" s="168">
        <v>5090</v>
      </c>
      <c r="K98" s="98">
        <v>66.17</v>
      </c>
      <c r="L98" s="98">
        <v>1.42</v>
      </c>
      <c r="M98" s="98">
        <f>ROUND(J98*L98/100,2)-7.5</f>
        <v>64.78</v>
      </c>
      <c r="N98" s="148">
        <f>M98-K98</f>
        <v>-1.3900000000000006</v>
      </c>
    </row>
    <row r="99" spans="2:14" ht="12.75" hidden="1" outlineLevel="1">
      <c r="B99" s="244" t="s">
        <v>210</v>
      </c>
      <c r="C99" s="100">
        <v>242</v>
      </c>
      <c r="D99" s="94">
        <v>515.44</v>
      </c>
      <c r="E99" s="98">
        <v>5.5</v>
      </c>
      <c r="F99" s="98">
        <f>ROUND(C99*E99/100,2)-12</f>
        <v>1.3100000000000005</v>
      </c>
      <c r="G99" s="148">
        <f t="shared" si="10"/>
        <v>-514.1300000000001</v>
      </c>
      <c r="H99" s="200"/>
      <c r="I99" s="169" t="s">
        <v>193</v>
      </c>
      <c r="J99" s="168">
        <v>202</v>
      </c>
      <c r="K99" s="98">
        <v>995.61</v>
      </c>
      <c r="L99" s="98">
        <v>397</v>
      </c>
      <c r="M99" s="98">
        <f>ROUND(J99*L99/100,2)-7.5</f>
        <v>794.44</v>
      </c>
      <c r="N99" s="148">
        <f t="shared" si="11"/>
        <v>-201.16999999999996</v>
      </c>
    </row>
    <row r="100" spans="2:14" ht="12.75" hidden="1" outlineLevel="1">
      <c r="B100" s="103" t="s">
        <v>118</v>
      </c>
      <c r="C100" s="100">
        <v>255</v>
      </c>
      <c r="D100" s="96">
        <v>1015.65</v>
      </c>
      <c r="E100" s="98">
        <v>370.75</v>
      </c>
      <c r="F100" s="98">
        <f>ROUND(C100*E100/100,2)-12</f>
        <v>933.41</v>
      </c>
      <c r="G100" s="148">
        <f t="shared" si="10"/>
        <v>-82.24000000000001</v>
      </c>
      <c r="H100" s="200"/>
      <c r="I100" s="169" t="s">
        <v>157</v>
      </c>
      <c r="J100" s="234">
        <v>280</v>
      </c>
      <c r="K100" s="235">
        <v>1017.92</v>
      </c>
      <c r="L100" s="236">
        <v>96</v>
      </c>
      <c r="M100" s="98">
        <f>ROUND(J100*L100/100,2)-12</f>
        <v>256.8</v>
      </c>
      <c r="N100" s="148">
        <f t="shared" si="11"/>
        <v>-761.1199999999999</v>
      </c>
    </row>
    <row r="101" spans="2:14" ht="12.75" hidden="1" outlineLevel="1">
      <c r="B101" s="169" t="s">
        <v>184</v>
      </c>
      <c r="C101" s="168">
        <v>755</v>
      </c>
      <c r="D101" s="98">
        <v>1000.74</v>
      </c>
      <c r="E101" s="98">
        <v>101</v>
      </c>
      <c r="F101" s="98">
        <f>ROUND(C101*E101/100,2)-7.5</f>
        <v>755.05</v>
      </c>
      <c r="G101" s="148">
        <f t="shared" si="10"/>
        <v>-245.69000000000005</v>
      </c>
      <c r="H101" s="200"/>
      <c r="I101" s="175" t="s">
        <v>111</v>
      </c>
      <c r="J101" s="97">
        <v>28</v>
      </c>
      <c r="K101" s="229">
        <v>0</v>
      </c>
      <c r="L101" s="98">
        <v>53</v>
      </c>
      <c r="M101" s="98">
        <f>ROUND(J101*L101/100,2)-12</f>
        <v>2.84</v>
      </c>
      <c r="N101" s="148">
        <f t="shared" si="11"/>
        <v>2.84</v>
      </c>
    </row>
    <row r="102" spans="2:14" ht="12.75" hidden="1" outlineLevel="1">
      <c r="B102" s="113" t="s">
        <v>209</v>
      </c>
      <c r="C102" s="174">
        <v>4304</v>
      </c>
      <c r="D102" s="110">
        <v>0</v>
      </c>
      <c r="E102" s="111">
        <v>5.75</v>
      </c>
      <c r="F102" s="111">
        <f>ROUND(C102*E102/100,2)-7.5</f>
        <v>239.98</v>
      </c>
      <c r="G102" s="112">
        <f t="shared" si="10"/>
        <v>239.98</v>
      </c>
      <c r="H102" s="85"/>
      <c r="I102" s="169" t="s">
        <v>61</v>
      </c>
      <c r="J102" s="168">
        <v>2</v>
      </c>
      <c r="K102" s="229">
        <v>5.16</v>
      </c>
      <c r="L102" s="98">
        <v>205.5</v>
      </c>
      <c r="M102" s="98">
        <f>ROUND(J102*L102/100,2)-12</f>
        <v>-7.89</v>
      </c>
      <c r="N102" s="148">
        <f t="shared" si="11"/>
        <v>-13.05</v>
      </c>
    </row>
    <row r="103" spans="2:14" ht="12.75" hidden="1" outlineLevel="1">
      <c r="B103" s="226" t="s">
        <v>126</v>
      </c>
      <c r="C103" s="227"/>
      <c r="D103" s="184">
        <f>SUM(D96:D102)</f>
        <v>4535.13</v>
      </c>
      <c r="E103" s="184"/>
      <c r="F103" s="228">
        <f>SUM(F96:F102)</f>
        <v>2910.61</v>
      </c>
      <c r="G103" s="185">
        <f>F103-D103</f>
        <v>-1624.52</v>
      </c>
      <c r="H103" s="85"/>
      <c r="I103" s="170" t="s">
        <v>94</v>
      </c>
      <c r="J103" s="171">
        <v>364</v>
      </c>
      <c r="K103" s="149">
        <v>1018.01</v>
      </c>
      <c r="L103" s="111">
        <v>75</v>
      </c>
      <c r="M103" s="111">
        <f>ROUND(J103*L103/100,2)-12</f>
        <v>261</v>
      </c>
      <c r="N103" s="112">
        <f t="shared" si="11"/>
        <v>-757.01</v>
      </c>
    </row>
    <row r="104" spans="2:14" ht="12.75" hidden="1" outlineLevel="1">
      <c r="B104" s="172"/>
      <c r="C104" s="71"/>
      <c r="D104" s="98"/>
      <c r="E104" s="98"/>
      <c r="F104" s="119"/>
      <c r="G104" s="116"/>
      <c r="H104" s="85"/>
      <c r="I104" s="226" t="s">
        <v>126</v>
      </c>
      <c r="J104" s="227"/>
      <c r="K104" s="184">
        <f>SUM(K97:K103)</f>
        <v>4102.37</v>
      </c>
      <c r="L104" s="184"/>
      <c r="M104" s="228">
        <f>SUM(M97:M103)</f>
        <v>1783.7499999999998</v>
      </c>
      <c r="N104" s="185">
        <f>M104-K104</f>
        <v>-2318.62</v>
      </c>
    </row>
    <row r="105" spans="2:14" ht="12.75" hidden="1" outlineLevel="1">
      <c r="B105" s="13" t="s">
        <v>239</v>
      </c>
      <c r="C105" s="7"/>
      <c r="D105" s="7"/>
      <c r="E105" s="71"/>
      <c r="F105" s="71">
        <v>-1003.31</v>
      </c>
      <c r="G105" s="179"/>
      <c r="H105" s="85"/>
      <c r="I105" s="175"/>
      <c r="J105" s="98"/>
      <c r="K105" s="98"/>
      <c r="L105" s="97"/>
      <c r="M105" s="98"/>
      <c r="N105" s="116"/>
    </row>
    <row r="106" spans="2:14" ht="12.75" hidden="1" outlineLevel="1">
      <c r="B106" s="13" t="s">
        <v>236</v>
      </c>
      <c r="C106" s="71"/>
      <c r="D106" s="91"/>
      <c r="E106" s="91"/>
      <c r="F106" s="178">
        <v>66.17</v>
      </c>
      <c r="G106" s="179"/>
      <c r="H106" s="85"/>
      <c r="I106" s="175" t="s">
        <v>191</v>
      </c>
      <c r="J106" s="71"/>
      <c r="K106" s="91"/>
      <c r="L106" s="91"/>
      <c r="M106" s="178">
        <v>-66.17</v>
      </c>
      <c r="N106" s="116"/>
    </row>
    <row r="107" spans="2:14" ht="12.75" hidden="1" outlineLevel="1">
      <c r="B107" s="13" t="s">
        <v>186</v>
      </c>
      <c r="C107" s="71"/>
      <c r="D107" s="91"/>
      <c r="E107" s="91"/>
      <c r="F107" s="178">
        <f>0.66</f>
        <v>0.66</v>
      </c>
      <c r="G107" s="179"/>
      <c r="H107" s="85"/>
      <c r="I107" s="175" t="s">
        <v>186</v>
      </c>
      <c r="J107" s="71"/>
      <c r="K107" s="91"/>
      <c r="L107" s="91"/>
      <c r="M107" s="178">
        <f>0.66</f>
        <v>0.66</v>
      </c>
      <c r="N107" s="116"/>
    </row>
    <row r="108" spans="2:14" ht="12.75" hidden="1" outlineLevel="1">
      <c r="B108" s="175" t="s">
        <v>115</v>
      </c>
      <c r="C108" s="98"/>
      <c r="D108" s="98"/>
      <c r="E108" s="71"/>
      <c r="F108" s="98">
        <v>0.01</v>
      </c>
      <c r="G108" s="179"/>
      <c r="H108" s="85"/>
      <c r="I108" s="175" t="s">
        <v>115</v>
      </c>
      <c r="J108" s="98"/>
      <c r="K108" s="98"/>
      <c r="L108" s="97"/>
      <c r="M108" s="98">
        <v>0.01</v>
      </c>
      <c r="N108" s="173"/>
    </row>
    <row r="109" spans="2:14" ht="12.75" hidden="1" outlineLevel="1">
      <c r="B109" s="175" t="s">
        <v>241</v>
      </c>
      <c r="C109" s="98"/>
      <c r="D109" s="98"/>
      <c r="E109" s="71"/>
      <c r="F109" s="98">
        <v>-226.79</v>
      </c>
      <c r="G109" s="179"/>
      <c r="H109" s="85"/>
      <c r="I109" s="175" t="s">
        <v>241</v>
      </c>
      <c r="J109" s="98"/>
      <c r="K109" s="98"/>
      <c r="L109" s="97"/>
      <c r="M109" s="98">
        <v>-226.79</v>
      </c>
      <c r="N109" s="173"/>
    </row>
    <row r="110" spans="2:14" ht="12.75" hidden="1" outlineLevel="1">
      <c r="B110" s="176" t="s">
        <v>46</v>
      </c>
      <c r="C110" s="177"/>
      <c r="D110" s="88"/>
      <c r="E110" s="88"/>
      <c r="F110" s="178">
        <f>F92</f>
        <v>3093.58</v>
      </c>
      <c r="G110" s="179"/>
      <c r="H110" s="85"/>
      <c r="I110" s="103" t="s">
        <v>46</v>
      </c>
      <c r="J110" s="71"/>
      <c r="K110" s="96"/>
      <c r="L110" s="96"/>
      <c r="M110" s="98">
        <f>M92</f>
        <v>2771.1299999999997</v>
      </c>
      <c r="N110" s="173"/>
    </row>
    <row r="111" spans="2:14" ht="12.75" hidden="1" outlineLevel="1">
      <c r="B111" s="113" t="s">
        <v>128</v>
      </c>
      <c r="C111" s="190"/>
      <c r="D111" s="190"/>
      <c r="E111" s="191"/>
      <c r="F111" s="257">
        <f>210</f>
        <v>210</v>
      </c>
      <c r="G111" s="192"/>
      <c r="H111" s="85"/>
      <c r="I111" s="113" t="s">
        <v>128</v>
      </c>
      <c r="J111" s="211"/>
      <c r="K111" s="110"/>
      <c r="L111" s="110"/>
      <c r="M111" s="257">
        <f>210</f>
        <v>210</v>
      </c>
      <c r="N111" s="207"/>
    </row>
    <row r="112" spans="2:15" ht="12.75" hidden="1" outlineLevel="1">
      <c r="B112" s="117" t="s">
        <v>127</v>
      </c>
      <c r="C112" s="177"/>
      <c r="D112" s="177"/>
      <c r="E112" s="88"/>
      <c r="F112" s="119">
        <f>SUM(F105:F111)</f>
        <v>2140.3199999999997</v>
      </c>
      <c r="G112" s="88"/>
      <c r="H112" s="85"/>
      <c r="I112" s="117" t="s">
        <v>127</v>
      </c>
      <c r="J112" s="71"/>
      <c r="K112" s="96"/>
      <c r="L112" s="96"/>
      <c r="M112" s="180">
        <f>SUM(M106:M111)</f>
        <v>2688.8399999999997</v>
      </c>
      <c r="N112" s="91"/>
      <c r="O112" s="138">
        <f>F112+M112</f>
        <v>4829.16</v>
      </c>
    </row>
    <row r="113" spans="2:15" ht="12.75" collapsed="1">
      <c r="B113" s="181" t="s">
        <v>36</v>
      </c>
      <c r="C113" s="177"/>
      <c r="D113" s="177"/>
      <c r="E113" s="88"/>
      <c r="F113" s="119">
        <f>F103+F112</f>
        <v>5050.93</v>
      </c>
      <c r="G113" s="88"/>
      <c r="H113" s="85"/>
      <c r="I113" s="181" t="s">
        <v>36</v>
      </c>
      <c r="J113" s="72"/>
      <c r="K113" s="96"/>
      <c r="L113" s="96"/>
      <c r="M113" s="119">
        <f>M104+M112</f>
        <v>4472.589999999999</v>
      </c>
      <c r="N113" s="91"/>
      <c r="O113" s="138">
        <f>F113+M113</f>
        <v>9523.52</v>
      </c>
    </row>
    <row r="114" spans="5:14" ht="12.75">
      <c r="E114" s="85"/>
      <c r="F114" s="85"/>
      <c r="G114" s="85"/>
      <c r="H114" s="71"/>
      <c r="I114" s="85"/>
      <c r="J114" s="85"/>
      <c r="K114" s="85"/>
      <c r="L114" s="85"/>
      <c r="M114" s="85"/>
      <c r="N114" s="85"/>
    </row>
    <row r="115" spans="2:14" ht="12.75" customHeight="1">
      <c r="B115" s="85"/>
      <c r="C115" s="200"/>
      <c r="D115" s="106"/>
      <c r="E115" s="106"/>
      <c r="F115" s="106"/>
      <c r="G115" s="283" t="s">
        <v>242</v>
      </c>
      <c r="H115" s="283"/>
      <c r="I115" s="283"/>
      <c r="J115" s="85"/>
      <c r="K115" s="85"/>
      <c r="L115" s="85"/>
      <c r="M115" s="85"/>
      <c r="N115" s="85"/>
    </row>
    <row r="116" spans="2:14" ht="12.75" hidden="1" outlineLevel="1">
      <c r="B116" s="209" t="s">
        <v>65</v>
      </c>
      <c r="C116" s="209" t="s">
        <v>66</v>
      </c>
      <c r="D116" s="210" t="s">
        <v>47</v>
      </c>
      <c r="E116" s="180" t="s">
        <v>67</v>
      </c>
      <c r="F116" s="180" t="s">
        <v>129</v>
      </c>
      <c r="G116" s="210" t="s">
        <v>125</v>
      </c>
      <c r="H116" s="85"/>
      <c r="I116" s="209" t="s">
        <v>65</v>
      </c>
      <c r="J116" s="209" t="s">
        <v>66</v>
      </c>
      <c r="K116" s="210" t="s">
        <v>47</v>
      </c>
      <c r="L116" s="180" t="s">
        <v>67</v>
      </c>
      <c r="M116" s="180" t="s">
        <v>129</v>
      </c>
      <c r="N116" s="210" t="s">
        <v>125</v>
      </c>
    </row>
    <row r="117" spans="2:14" ht="12.75" hidden="1" outlineLevel="1">
      <c r="B117" s="245" t="s">
        <v>174</v>
      </c>
      <c r="C117" s="187">
        <v>4304</v>
      </c>
      <c r="D117" s="188">
        <v>999.99</v>
      </c>
      <c r="E117" s="184">
        <v>3.75</v>
      </c>
      <c r="F117" s="184">
        <f>ROUND(C117*E117/100,2)-7.5</f>
        <v>153.9</v>
      </c>
      <c r="G117" s="189">
        <f aca="true" t="shared" si="12" ref="G117:G123">F117-D117</f>
        <v>-846.09</v>
      </c>
      <c r="H117" s="200"/>
      <c r="I117" s="225" t="s">
        <v>32</v>
      </c>
      <c r="J117" s="187">
        <v>1747</v>
      </c>
      <c r="K117" s="184">
        <v>999.5</v>
      </c>
      <c r="L117" s="184">
        <v>32</v>
      </c>
      <c r="M117" s="184">
        <f>ROUND(J117*L117/100,2)-7.5</f>
        <v>551.54</v>
      </c>
      <c r="N117" s="189">
        <f aca="true" t="shared" si="13" ref="N117:N123">M117-K117</f>
        <v>-447.96000000000004</v>
      </c>
    </row>
    <row r="118" spans="2:14" ht="12.75" hidden="1" outlineLevel="1">
      <c r="B118" s="103" t="s">
        <v>235</v>
      </c>
      <c r="C118" s="168">
        <v>650</v>
      </c>
      <c r="D118" s="96">
        <v>1003.31</v>
      </c>
      <c r="E118" s="98">
        <v>157</v>
      </c>
      <c r="F118" s="98">
        <f>ROUND(C118*E118/100,2)-7.5</f>
        <v>1013</v>
      </c>
      <c r="G118" s="148">
        <f t="shared" si="12"/>
        <v>9.690000000000055</v>
      </c>
      <c r="H118" s="200"/>
      <c r="I118" s="169" t="s">
        <v>152</v>
      </c>
      <c r="J118" s="168">
        <v>5090</v>
      </c>
      <c r="K118" s="98">
        <v>66.17</v>
      </c>
      <c r="L118" s="98">
        <v>2.52</v>
      </c>
      <c r="M118" s="98">
        <f>ROUND(J118*L118/100,2)-7.5</f>
        <v>120.77000000000001</v>
      </c>
      <c r="N118" s="148">
        <f>M118-K118</f>
        <v>54.60000000000001</v>
      </c>
    </row>
    <row r="119" spans="2:14" ht="12.75" hidden="1" outlineLevel="1">
      <c r="B119" s="244" t="s">
        <v>210</v>
      </c>
      <c r="C119" s="100">
        <v>242</v>
      </c>
      <c r="D119" s="94">
        <v>515.44</v>
      </c>
      <c r="E119" s="98">
        <v>7</v>
      </c>
      <c r="F119" s="98">
        <f>ROUND(C119*E119/100,2)-12</f>
        <v>4.940000000000001</v>
      </c>
      <c r="G119" s="148">
        <f t="shared" si="12"/>
        <v>-510.50000000000006</v>
      </c>
      <c r="H119" s="200"/>
      <c r="I119" s="169" t="s">
        <v>193</v>
      </c>
      <c r="J119" s="168">
        <v>202</v>
      </c>
      <c r="K119" s="98">
        <v>995.61</v>
      </c>
      <c r="L119" s="98">
        <v>403.25</v>
      </c>
      <c r="M119" s="98">
        <f>ROUND(J119*L119/100,2)-7.5</f>
        <v>807.07</v>
      </c>
      <c r="N119" s="148">
        <f t="shared" si="13"/>
        <v>-188.53999999999996</v>
      </c>
    </row>
    <row r="120" spans="2:14" ht="12.75" hidden="1" outlineLevel="1">
      <c r="B120" s="103" t="s">
        <v>118</v>
      </c>
      <c r="C120" s="100">
        <v>505</v>
      </c>
      <c r="D120" s="96">
        <f>1015.65+988.36</f>
        <v>2004.01</v>
      </c>
      <c r="E120" s="98">
        <v>376.5</v>
      </c>
      <c r="F120" s="98">
        <f>ROUND(C120*E120/100,2)-(12+7.5)</f>
        <v>1881.83</v>
      </c>
      <c r="G120" s="148">
        <f t="shared" si="12"/>
        <v>-122.18000000000006</v>
      </c>
      <c r="H120" s="200"/>
      <c r="I120" s="169" t="s">
        <v>157</v>
      </c>
      <c r="J120" s="234">
        <v>280</v>
      </c>
      <c r="K120" s="235">
        <v>1017.92</v>
      </c>
      <c r="L120" s="236">
        <v>116.75</v>
      </c>
      <c r="M120" s="98">
        <f>ROUND(J120*L120/100,2)-12</f>
        <v>314.9</v>
      </c>
      <c r="N120" s="148">
        <f t="shared" si="13"/>
        <v>-703.02</v>
      </c>
    </row>
    <row r="121" spans="2:14" ht="12.75" hidden="1" outlineLevel="1">
      <c r="B121" s="169" t="s">
        <v>184</v>
      </c>
      <c r="C121" s="168">
        <v>755</v>
      </c>
      <c r="D121" s="98">
        <v>1000.74</v>
      </c>
      <c r="E121" s="98">
        <v>104.75</v>
      </c>
      <c r="F121" s="98">
        <f>ROUND(C121*E121/100,2)-7.5</f>
        <v>783.36</v>
      </c>
      <c r="G121" s="148">
        <f t="shared" si="12"/>
        <v>-217.38</v>
      </c>
      <c r="H121" s="200"/>
      <c r="I121" s="169" t="s">
        <v>61</v>
      </c>
      <c r="J121" s="168">
        <v>2</v>
      </c>
      <c r="K121" s="229">
        <v>5.16</v>
      </c>
      <c r="L121" s="98">
        <v>198</v>
      </c>
      <c r="M121" s="98">
        <f>ROUND(J121*L121/100,2)-12</f>
        <v>-8.04</v>
      </c>
      <c r="N121" s="148">
        <f t="shared" si="13"/>
        <v>-13.2</v>
      </c>
    </row>
    <row r="122" spans="2:14" ht="12.75" hidden="1" outlineLevel="1">
      <c r="B122" s="113" t="s">
        <v>209</v>
      </c>
      <c r="C122" s="174">
        <v>4304</v>
      </c>
      <c r="D122" s="110">
        <v>0</v>
      </c>
      <c r="E122" s="111">
        <v>4</v>
      </c>
      <c r="F122" s="111">
        <f>ROUND(C122*E122/100,2)-7.5</f>
        <v>164.66</v>
      </c>
      <c r="G122" s="112">
        <f t="shared" si="12"/>
        <v>164.66</v>
      </c>
      <c r="H122" s="85"/>
      <c r="I122" s="175" t="s">
        <v>94</v>
      </c>
      <c r="J122" s="97">
        <v>364</v>
      </c>
      <c r="K122" s="229">
        <v>1018.01</v>
      </c>
      <c r="L122" s="98">
        <v>50</v>
      </c>
      <c r="M122" s="98">
        <f>ROUND(J122*L122/100,2)-12</f>
        <v>170</v>
      </c>
      <c r="N122" s="148">
        <f t="shared" si="13"/>
        <v>-848.01</v>
      </c>
    </row>
    <row r="123" spans="2:14" ht="12.75" hidden="1" outlineLevel="1">
      <c r="B123" s="226" t="s">
        <v>126</v>
      </c>
      <c r="C123" s="227"/>
      <c r="D123" s="184">
        <f>SUM(D116:D122)</f>
        <v>5523.49</v>
      </c>
      <c r="E123" s="184"/>
      <c r="F123" s="228">
        <f>SUM(F117:F122)</f>
        <v>4001.69</v>
      </c>
      <c r="G123" s="185">
        <f t="shared" si="12"/>
        <v>-1521.7999999999997</v>
      </c>
      <c r="H123" s="85"/>
      <c r="I123" s="226" t="s">
        <v>126</v>
      </c>
      <c r="J123" s="227"/>
      <c r="K123" s="184">
        <f>SUM(K117:K122)</f>
        <v>4102.37</v>
      </c>
      <c r="L123" s="184"/>
      <c r="M123" s="228">
        <f>SUM(M117:M122)</f>
        <v>1956.2400000000002</v>
      </c>
      <c r="N123" s="185">
        <f t="shared" si="13"/>
        <v>-2146.1299999999997</v>
      </c>
    </row>
    <row r="124" spans="2:14" ht="12.75" hidden="1" outlineLevel="1">
      <c r="B124" s="172"/>
      <c r="C124" s="71"/>
      <c r="D124" s="98"/>
      <c r="E124" s="98"/>
      <c r="F124" s="119"/>
      <c r="G124" s="116"/>
      <c r="H124" s="85"/>
      <c r="I124" s="172"/>
      <c r="J124" s="71"/>
      <c r="K124" s="98"/>
      <c r="L124" s="98"/>
      <c r="M124" s="119"/>
      <c r="N124" s="116"/>
    </row>
    <row r="125" spans="2:14" ht="12.75" hidden="1" outlineLevel="1">
      <c r="B125" s="169" t="s">
        <v>251</v>
      </c>
      <c r="C125" s="71"/>
      <c r="D125" s="98"/>
      <c r="E125" s="98"/>
      <c r="F125" s="258">
        <v>-988.36</v>
      </c>
      <c r="G125" s="116"/>
      <c r="H125" s="85"/>
      <c r="I125" s="172"/>
      <c r="J125" s="71"/>
      <c r="K125" s="98"/>
      <c r="L125" s="98"/>
      <c r="M125" s="119"/>
      <c r="N125" s="116"/>
    </row>
    <row r="126" spans="2:14" ht="12.75" hidden="1" outlineLevel="1">
      <c r="B126" s="169" t="s">
        <v>192</v>
      </c>
      <c r="C126" s="177"/>
      <c r="D126" s="178"/>
      <c r="E126" s="98"/>
      <c r="F126" s="178">
        <v>45.39</v>
      </c>
      <c r="G126" s="116"/>
      <c r="H126" s="85"/>
      <c r="I126" s="172"/>
      <c r="J126" s="71"/>
      <c r="K126" s="98"/>
      <c r="L126" s="98"/>
      <c r="M126" s="119"/>
      <c r="N126" s="116"/>
    </row>
    <row r="127" spans="2:14" ht="12.75" hidden="1" outlineLevel="1">
      <c r="B127" s="169" t="s">
        <v>246</v>
      </c>
      <c r="C127" s="105"/>
      <c r="D127" s="105"/>
      <c r="E127" s="98"/>
      <c r="F127" s="168">
        <v>5.43</v>
      </c>
      <c r="G127" s="116"/>
      <c r="H127" s="85"/>
      <c r="I127" s="169" t="s">
        <v>247</v>
      </c>
      <c r="J127" s="71"/>
      <c r="K127" s="98"/>
      <c r="L127" s="98"/>
      <c r="M127" s="178">
        <v>15.4</v>
      </c>
      <c r="N127" s="116"/>
    </row>
    <row r="128" spans="2:14" ht="12.75" hidden="1" outlineLevel="1">
      <c r="B128" s="175" t="s">
        <v>254</v>
      </c>
      <c r="C128" s="98"/>
      <c r="D128" s="98"/>
      <c r="E128" s="98"/>
      <c r="F128" s="98">
        <v>-316.1</v>
      </c>
      <c r="G128" s="179"/>
      <c r="H128" s="85"/>
      <c r="I128" s="175" t="s">
        <v>254</v>
      </c>
      <c r="J128" s="98"/>
      <c r="K128" s="98"/>
      <c r="L128" s="97"/>
      <c r="M128" s="98">
        <v>-316.09</v>
      </c>
      <c r="N128" s="173"/>
    </row>
    <row r="129" spans="2:14" ht="12.75" hidden="1" outlineLevel="1">
      <c r="B129" s="175" t="s">
        <v>115</v>
      </c>
      <c r="C129" s="98"/>
      <c r="D129" s="98"/>
      <c r="E129" s="98"/>
      <c r="F129" s="98">
        <v>0.01</v>
      </c>
      <c r="G129" s="179"/>
      <c r="H129" s="85"/>
      <c r="I129" s="175" t="s">
        <v>115</v>
      </c>
      <c r="J129" s="98"/>
      <c r="K129" s="98"/>
      <c r="L129" s="97"/>
      <c r="M129" s="98">
        <v>0.02</v>
      </c>
      <c r="N129" s="173"/>
    </row>
    <row r="130" spans="2:14" ht="12.75" hidden="1" outlineLevel="1">
      <c r="B130" s="103" t="s">
        <v>128</v>
      </c>
      <c r="C130" s="177"/>
      <c r="D130" s="177"/>
      <c r="E130" s="98"/>
      <c r="F130" s="178">
        <v>195</v>
      </c>
      <c r="G130" s="223"/>
      <c r="H130" s="85"/>
      <c r="I130" s="103" t="s">
        <v>128</v>
      </c>
      <c r="J130" s="71"/>
      <c r="K130" s="96"/>
      <c r="L130" s="96"/>
      <c r="M130" s="178">
        <v>195</v>
      </c>
      <c r="N130" s="173"/>
    </row>
    <row r="131" spans="2:16" ht="12.75" hidden="1" outlineLevel="1">
      <c r="B131" s="15" t="s">
        <v>46</v>
      </c>
      <c r="C131" s="9"/>
      <c r="D131" s="9"/>
      <c r="E131" s="111"/>
      <c r="F131" s="111">
        <f>F112</f>
        <v>2140.3199999999997</v>
      </c>
      <c r="G131" s="241"/>
      <c r="H131" s="71"/>
      <c r="I131" s="170" t="s">
        <v>46</v>
      </c>
      <c r="J131" s="211"/>
      <c r="K131" s="211"/>
      <c r="L131" s="211"/>
      <c r="M131" s="111">
        <f>M112</f>
        <v>2688.8399999999997</v>
      </c>
      <c r="N131" s="241"/>
      <c r="P131" s="177"/>
    </row>
    <row r="132" spans="2:15" ht="12.75" hidden="1" outlineLevel="1">
      <c r="B132" s="117" t="s">
        <v>127</v>
      </c>
      <c r="C132" s="177"/>
      <c r="D132" s="177"/>
      <c r="E132" s="88"/>
      <c r="F132" s="119">
        <f>SUM(F125:F131)</f>
        <v>1081.6899999999996</v>
      </c>
      <c r="G132" s="88"/>
      <c r="H132" s="85"/>
      <c r="I132" s="117" t="s">
        <v>127</v>
      </c>
      <c r="J132" s="71"/>
      <c r="K132" s="96"/>
      <c r="L132" s="96"/>
      <c r="M132" s="180">
        <f>SUM(M127:M131)</f>
        <v>2583.1699999999996</v>
      </c>
      <c r="N132" s="91"/>
      <c r="O132" s="138">
        <f>F132+M132</f>
        <v>3664.859999999999</v>
      </c>
    </row>
    <row r="133" spans="2:15" ht="12.75" collapsed="1">
      <c r="B133" s="181" t="s">
        <v>36</v>
      </c>
      <c r="C133" s="177"/>
      <c r="D133" s="177"/>
      <c r="E133" s="88"/>
      <c r="F133" s="119">
        <f>F123+F132</f>
        <v>5083.379999999999</v>
      </c>
      <c r="G133" s="88"/>
      <c r="H133" s="71"/>
      <c r="I133" s="181" t="s">
        <v>36</v>
      </c>
      <c r="J133" s="72"/>
      <c r="K133" s="96"/>
      <c r="L133" s="96"/>
      <c r="M133" s="119">
        <f>M123+M132</f>
        <v>4539.41</v>
      </c>
      <c r="N133" s="91"/>
      <c r="O133" s="138">
        <f>F133+M133</f>
        <v>9622.789999999999</v>
      </c>
    </row>
    <row r="134" spans="2:16" ht="12.75">
      <c r="B134" s="181"/>
      <c r="C134" s="177"/>
      <c r="D134" s="177"/>
      <c r="E134" s="88"/>
      <c r="F134" s="119"/>
      <c r="G134" s="88"/>
      <c r="H134" s="71"/>
      <c r="I134" s="85"/>
      <c r="J134" s="85"/>
      <c r="K134" s="85"/>
      <c r="L134" s="85"/>
      <c r="M134" s="85"/>
      <c r="N134" s="85"/>
      <c r="P134" s="2"/>
    </row>
    <row r="135" spans="2:22" ht="12.75">
      <c r="B135" s="85"/>
      <c r="C135" s="200"/>
      <c r="D135" s="106"/>
      <c r="E135" s="106"/>
      <c r="F135" s="106"/>
      <c r="G135" s="283" t="s">
        <v>248</v>
      </c>
      <c r="H135" s="283"/>
      <c r="I135" s="283"/>
      <c r="J135" s="85"/>
      <c r="K135" s="85"/>
      <c r="L135" s="85"/>
      <c r="M135" s="85"/>
      <c r="N135" s="85"/>
      <c r="R135" s="71"/>
      <c r="S135" s="98"/>
      <c r="T135" s="98"/>
      <c r="U135" s="119"/>
      <c r="V135" s="116"/>
    </row>
    <row r="136" spans="2:14" ht="12.75" hidden="1" outlineLevel="1">
      <c r="B136" s="209" t="s">
        <v>65</v>
      </c>
      <c r="C136" s="209" t="s">
        <v>66</v>
      </c>
      <c r="D136" s="210" t="s">
        <v>47</v>
      </c>
      <c r="E136" s="180" t="s">
        <v>67</v>
      </c>
      <c r="F136" s="180" t="s">
        <v>129</v>
      </c>
      <c r="G136" s="210" t="s">
        <v>125</v>
      </c>
      <c r="H136" s="85"/>
      <c r="I136" s="209" t="s">
        <v>65</v>
      </c>
      <c r="J136" s="209" t="s">
        <v>66</v>
      </c>
      <c r="K136" s="210" t="s">
        <v>47</v>
      </c>
      <c r="L136" s="180" t="s">
        <v>67</v>
      </c>
      <c r="M136" s="180" t="s">
        <v>129</v>
      </c>
      <c r="N136" s="210" t="s">
        <v>125</v>
      </c>
    </row>
    <row r="137" spans="2:17" ht="12.75" hidden="1" outlineLevel="1">
      <c r="B137" s="245" t="s">
        <v>174</v>
      </c>
      <c r="C137" s="187">
        <v>4304</v>
      </c>
      <c r="D137" s="188">
        <v>999.99</v>
      </c>
      <c r="E137" s="184">
        <v>4.75</v>
      </c>
      <c r="F137" s="184">
        <f>ROUND(C137*E137/100,2)-7.5</f>
        <v>196.94</v>
      </c>
      <c r="G137" s="189">
        <f aca="true" t="shared" si="14" ref="G137:G143">F137-D137</f>
        <v>-803.05</v>
      </c>
      <c r="H137" s="200"/>
      <c r="I137" s="225" t="s">
        <v>32</v>
      </c>
      <c r="J137" s="187">
        <v>1747</v>
      </c>
      <c r="K137" s="184">
        <v>999.5</v>
      </c>
      <c r="L137" s="184">
        <v>38</v>
      </c>
      <c r="M137" s="184">
        <f>ROUND(J137*L137/100,2)-7.5</f>
        <v>656.36</v>
      </c>
      <c r="N137" s="189">
        <f aca="true" t="shared" si="15" ref="N137:N143">M137-K137</f>
        <v>-343.14</v>
      </c>
      <c r="Q137" s="98"/>
    </row>
    <row r="138" spans="2:14" ht="12.75" hidden="1" outlineLevel="1">
      <c r="B138" s="103" t="s">
        <v>235</v>
      </c>
      <c r="C138" s="168">
        <v>650</v>
      </c>
      <c r="D138" s="96">
        <v>1003.31</v>
      </c>
      <c r="E138" s="98">
        <v>147</v>
      </c>
      <c r="F138" s="98">
        <f>ROUND(C138*E138/100,2)-7.5</f>
        <v>948</v>
      </c>
      <c r="G138" s="148">
        <f t="shared" si="14"/>
        <v>-55.309999999999945</v>
      </c>
      <c r="H138" s="200"/>
      <c r="I138" s="169" t="s">
        <v>152</v>
      </c>
      <c r="J138" s="168">
        <v>5090</v>
      </c>
      <c r="K138" s="98">
        <v>66.17</v>
      </c>
      <c r="L138" s="98">
        <v>2.08</v>
      </c>
      <c r="M138" s="98">
        <f>ROUND(J138*L138/100,2)-7.5</f>
        <v>98.37</v>
      </c>
      <c r="N138" s="148">
        <f t="shared" si="15"/>
        <v>32.2</v>
      </c>
    </row>
    <row r="139" spans="2:14" ht="12.75" hidden="1" outlineLevel="1">
      <c r="B139" s="244" t="s">
        <v>210</v>
      </c>
      <c r="C139" s="100">
        <v>242</v>
      </c>
      <c r="D139" s="94">
        <v>515.44</v>
      </c>
      <c r="E139" s="98">
        <v>11.75</v>
      </c>
      <c r="F139" s="98">
        <f>ROUND(C139*E139/100,2)-12</f>
        <v>16.44</v>
      </c>
      <c r="G139" s="148">
        <f t="shared" si="14"/>
        <v>-499.00000000000006</v>
      </c>
      <c r="H139" s="200"/>
      <c r="I139" s="169" t="s">
        <v>193</v>
      </c>
      <c r="J139" s="168">
        <v>202</v>
      </c>
      <c r="K139" s="98">
        <v>995.61</v>
      </c>
      <c r="L139" s="98">
        <v>385</v>
      </c>
      <c r="M139" s="98">
        <f>ROUND(J139*L139/100,2)-7.5</f>
        <v>770.2</v>
      </c>
      <c r="N139" s="148">
        <f t="shared" si="15"/>
        <v>-225.40999999999997</v>
      </c>
    </row>
    <row r="140" spans="2:14" ht="12.75" hidden="1" outlineLevel="1">
      <c r="B140" s="103" t="s">
        <v>118</v>
      </c>
      <c r="C140" s="100">
        <v>505</v>
      </c>
      <c r="D140" s="96">
        <f>1015.65+988.36</f>
        <v>2004.01</v>
      </c>
      <c r="E140" s="98">
        <v>369.75</v>
      </c>
      <c r="F140" s="98">
        <f>ROUND(C140*E140/100,2)-(12+7.5)</f>
        <v>1847.74</v>
      </c>
      <c r="G140" s="148">
        <f t="shared" si="14"/>
        <v>-156.26999999999998</v>
      </c>
      <c r="H140" s="200"/>
      <c r="I140" s="169" t="s">
        <v>157</v>
      </c>
      <c r="J140" s="234">
        <v>280</v>
      </c>
      <c r="K140" s="235">
        <v>1017.92</v>
      </c>
      <c r="L140" s="236">
        <v>147</v>
      </c>
      <c r="M140" s="98">
        <f>ROUND(J140*L140/100,2)-12</f>
        <v>399.6</v>
      </c>
      <c r="N140" s="148">
        <f t="shared" si="15"/>
        <v>-618.3199999999999</v>
      </c>
    </row>
    <row r="141" spans="2:14" ht="12.75" hidden="1" outlineLevel="1">
      <c r="B141" s="169" t="s">
        <v>184</v>
      </c>
      <c r="C141" s="168">
        <v>755</v>
      </c>
      <c r="D141" s="98">
        <v>1000.74</v>
      </c>
      <c r="E141" s="98">
        <v>78.75</v>
      </c>
      <c r="F141" s="98">
        <f>ROUND(C141*E141/100,2)-7.5</f>
        <v>587.06</v>
      </c>
      <c r="G141" s="148">
        <f t="shared" si="14"/>
        <v>-413.68000000000006</v>
      </c>
      <c r="H141" s="200"/>
      <c r="I141" s="169" t="s">
        <v>61</v>
      </c>
      <c r="J141" s="168">
        <v>2</v>
      </c>
      <c r="K141" s="229">
        <v>5.16</v>
      </c>
      <c r="L141" s="98">
        <v>202</v>
      </c>
      <c r="M141" s="98">
        <f>ROUND(J141*L141/100,2)-12</f>
        <v>-7.96</v>
      </c>
      <c r="N141" s="148">
        <f t="shared" si="15"/>
        <v>-13.120000000000001</v>
      </c>
    </row>
    <row r="142" spans="2:14" ht="12.75" hidden="1" outlineLevel="1">
      <c r="B142" s="113" t="s">
        <v>209</v>
      </c>
      <c r="C142" s="174">
        <v>4304</v>
      </c>
      <c r="D142" s="110">
        <v>0</v>
      </c>
      <c r="E142" s="111">
        <v>4.75</v>
      </c>
      <c r="F142" s="111">
        <f>ROUND(C142*E142/100,2)-7.5</f>
        <v>196.94</v>
      </c>
      <c r="G142" s="112">
        <f t="shared" si="14"/>
        <v>196.94</v>
      </c>
      <c r="H142" s="85"/>
      <c r="I142" s="175" t="s">
        <v>94</v>
      </c>
      <c r="J142" s="97">
        <v>364</v>
      </c>
      <c r="K142" s="229">
        <v>1018.01</v>
      </c>
      <c r="L142" s="98">
        <v>90</v>
      </c>
      <c r="M142" s="98">
        <f>ROUND(J142*L142/100,2)-12</f>
        <v>315.6</v>
      </c>
      <c r="N142" s="148">
        <f t="shared" si="15"/>
        <v>-702.41</v>
      </c>
    </row>
    <row r="143" spans="2:14" ht="12.75" hidden="1" outlineLevel="1">
      <c r="B143" s="226" t="s">
        <v>126</v>
      </c>
      <c r="C143" s="227"/>
      <c r="D143" s="184">
        <f>SUM(D136:D142)</f>
        <v>5523.49</v>
      </c>
      <c r="E143" s="184"/>
      <c r="F143" s="228">
        <f>SUM(F137:F142)</f>
        <v>3793.12</v>
      </c>
      <c r="G143" s="185">
        <f t="shared" si="14"/>
        <v>-1730.37</v>
      </c>
      <c r="H143" s="85"/>
      <c r="I143" s="226" t="s">
        <v>126</v>
      </c>
      <c r="J143" s="227"/>
      <c r="K143" s="184">
        <f>SUM(K137:K142)</f>
        <v>4102.37</v>
      </c>
      <c r="L143" s="184"/>
      <c r="M143" s="228">
        <f>SUM(M137:M142)</f>
        <v>2232.17</v>
      </c>
      <c r="N143" s="185">
        <f t="shared" si="15"/>
        <v>-1870.1999999999998</v>
      </c>
    </row>
    <row r="144" spans="2:14" ht="12.75" hidden="1" outlineLevel="1">
      <c r="B144" s="13"/>
      <c r="C144" s="7"/>
      <c r="D144" s="7"/>
      <c r="E144" s="71"/>
      <c r="F144" s="71"/>
      <c r="G144" s="116"/>
      <c r="H144" s="85"/>
      <c r="I144" s="172"/>
      <c r="J144" s="71"/>
      <c r="K144" s="98"/>
      <c r="L144" s="98"/>
      <c r="M144" s="119"/>
      <c r="N144" s="116"/>
    </row>
    <row r="145" spans="2:14" ht="12.75" hidden="1" outlineLevel="1">
      <c r="B145" s="13"/>
      <c r="C145" s="7"/>
      <c r="D145" s="7"/>
      <c r="E145" s="71"/>
      <c r="F145" s="71"/>
      <c r="G145" s="116"/>
      <c r="H145" s="85"/>
      <c r="I145" s="175" t="s">
        <v>216</v>
      </c>
      <c r="J145" s="71"/>
      <c r="K145" s="98"/>
      <c r="L145" s="98"/>
      <c r="M145" s="134">
        <v>14.14</v>
      </c>
      <c r="N145" s="116"/>
    </row>
    <row r="146" spans="2:14" ht="12.75" hidden="1" outlineLevel="1">
      <c r="B146" s="13"/>
      <c r="C146" s="7"/>
      <c r="D146" s="7"/>
      <c r="E146" s="71"/>
      <c r="F146" s="71"/>
      <c r="G146" s="116"/>
      <c r="H146" s="85"/>
      <c r="I146" s="175" t="s">
        <v>165</v>
      </c>
      <c r="J146" s="71"/>
      <c r="K146" s="98"/>
      <c r="L146" s="98"/>
      <c r="M146" s="134">
        <v>0.04</v>
      </c>
      <c r="N146" s="116"/>
    </row>
    <row r="147" spans="2:14" ht="12.75" hidden="1" outlineLevel="1">
      <c r="B147" s="13"/>
      <c r="C147" s="7"/>
      <c r="D147" s="7"/>
      <c r="E147" s="71"/>
      <c r="F147" s="71"/>
      <c r="G147" s="116"/>
      <c r="H147" s="85"/>
      <c r="I147" s="175" t="s">
        <v>208</v>
      </c>
      <c r="J147" s="71"/>
      <c r="K147" s="98"/>
      <c r="L147" s="98"/>
      <c r="M147" s="98">
        <v>11.2</v>
      </c>
      <c r="N147" s="116"/>
    </row>
    <row r="148" spans="2:14" ht="12.75" hidden="1" outlineLevel="1">
      <c r="B148" s="175" t="s">
        <v>115</v>
      </c>
      <c r="C148" s="98"/>
      <c r="D148" s="98"/>
      <c r="E148" s="71"/>
      <c r="F148" s="98">
        <v>0.02</v>
      </c>
      <c r="G148" s="179"/>
      <c r="H148" s="85"/>
      <c r="I148" s="175" t="s">
        <v>115</v>
      </c>
      <c r="J148" s="98"/>
      <c r="K148" s="98"/>
      <c r="L148" s="97"/>
      <c r="M148" s="98">
        <v>0.03</v>
      </c>
      <c r="N148" s="173"/>
    </row>
    <row r="149" spans="2:14" ht="12.75" hidden="1" outlineLevel="1">
      <c r="B149" s="175" t="s">
        <v>254</v>
      </c>
      <c r="C149" s="98"/>
      <c r="D149" s="98"/>
      <c r="E149" s="71"/>
      <c r="F149" s="98">
        <v>-15</v>
      </c>
      <c r="G149" s="179"/>
      <c r="H149" s="85"/>
      <c r="I149" s="175" t="s">
        <v>254</v>
      </c>
      <c r="J149" s="98"/>
      <c r="K149" s="98"/>
      <c r="L149" s="97"/>
      <c r="M149" s="98">
        <v>-15</v>
      </c>
      <c r="N149" s="173"/>
    </row>
    <row r="150" spans="2:14" ht="12.75" hidden="1" outlineLevel="1">
      <c r="B150" s="103" t="s">
        <v>128</v>
      </c>
      <c r="C150" s="177"/>
      <c r="D150" s="177"/>
      <c r="E150" s="88"/>
      <c r="F150" s="178">
        <f>195</f>
        <v>195</v>
      </c>
      <c r="G150" s="223"/>
      <c r="H150" s="71"/>
      <c r="I150" s="103" t="s">
        <v>128</v>
      </c>
      <c r="J150" s="71"/>
      <c r="K150" s="96"/>
      <c r="L150" s="96"/>
      <c r="M150" s="178">
        <f>195</f>
        <v>195</v>
      </c>
      <c r="N150" s="173"/>
    </row>
    <row r="151" spans="2:14" ht="12.75" hidden="1" outlineLevel="1">
      <c r="B151" s="15" t="s">
        <v>46</v>
      </c>
      <c r="C151" s="9"/>
      <c r="D151" s="9"/>
      <c r="E151" s="211"/>
      <c r="F151" s="111">
        <f>F132</f>
        <v>1081.6899999999996</v>
      </c>
      <c r="G151" s="241"/>
      <c r="H151" s="85"/>
      <c r="I151" s="170" t="s">
        <v>46</v>
      </c>
      <c r="J151" s="211"/>
      <c r="K151" s="211"/>
      <c r="L151" s="211"/>
      <c r="M151" s="111">
        <f>M132</f>
        <v>2583.1699999999996</v>
      </c>
      <c r="N151" s="241"/>
    </row>
    <row r="152" spans="2:15" ht="12.75" hidden="1" outlineLevel="1">
      <c r="B152" s="117" t="s">
        <v>127</v>
      </c>
      <c r="C152" s="177"/>
      <c r="D152" s="177"/>
      <c r="E152" s="88"/>
      <c r="F152" s="119">
        <f>SUM(F148:F151)</f>
        <v>1261.7099999999996</v>
      </c>
      <c r="G152" s="88"/>
      <c r="H152" s="71"/>
      <c r="I152" s="117" t="s">
        <v>127</v>
      </c>
      <c r="J152" s="71"/>
      <c r="K152" s="96"/>
      <c r="L152" s="96"/>
      <c r="M152" s="180">
        <f>SUM(M145:M151)</f>
        <v>2788.5799999999995</v>
      </c>
      <c r="N152" s="91"/>
      <c r="O152" s="138">
        <f>F152+M152</f>
        <v>4050.289999999999</v>
      </c>
    </row>
    <row r="153" spans="2:15" ht="12.75" collapsed="1">
      <c r="B153" s="181" t="s">
        <v>36</v>
      </c>
      <c r="C153" s="177"/>
      <c r="D153" s="177"/>
      <c r="E153" s="88"/>
      <c r="F153" s="119">
        <f>F143+F152</f>
        <v>5054.83</v>
      </c>
      <c r="G153" s="88"/>
      <c r="H153" s="71"/>
      <c r="I153" s="181" t="s">
        <v>36</v>
      </c>
      <c r="J153" s="72"/>
      <c r="K153" s="96"/>
      <c r="L153" s="96"/>
      <c r="M153" s="119">
        <f>M143+M152</f>
        <v>5020.75</v>
      </c>
      <c r="N153" s="91"/>
      <c r="O153" s="138">
        <f>F153+M153</f>
        <v>10075.58</v>
      </c>
    </row>
    <row r="154" spans="5:14" ht="12.75">
      <c r="E154" s="85"/>
      <c r="F154" s="85"/>
      <c r="G154" s="85"/>
      <c r="H154" s="85"/>
      <c r="I154" s="85"/>
      <c r="J154" s="85"/>
      <c r="K154" s="85"/>
      <c r="L154" s="85"/>
      <c r="M154" s="85"/>
      <c r="N154" s="85"/>
    </row>
    <row r="155" spans="2:14" ht="12.75">
      <c r="B155" s="85"/>
      <c r="C155" s="200"/>
      <c r="D155" s="106"/>
      <c r="E155" s="106"/>
      <c r="F155" s="106"/>
      <c r="G155" s="283" t="s">
        <v>249</v>
      </c>
      <c r="H155" s="283"/>
      <c r="I155" s="283"/>
      <c r="J155" s="85"/>
      <c r="K155" s="85"/>
      <c r="L155" s="85"/>
      <c r="M155" s="85"/>
      <c r="N155" s="85"/>
    </row>
    <row r="156" spans="2:14" ht="12.75" hidden="1" outlineLevel="1">
      <c r="B156" s="209" t="s">
        <v>65</v>
      </c>
      <c r="C156" s="209" t="s">
        <v>66</v>
      </c>
      <c r="D156" s="210" t="s">
        <v>47</v>
      </c>
      <c r="E156" s="180" t="s">
        <v>67</v>
      </c>
      <c r="F156" s="180" t="s">
        <v>129</v>
      </c>
      <c r="G156" s="210" t="s">
        <v>125</v>
      </c>
      <c r="H156" s="85"/>
      <c r="I156" s="209" t="s">
        <v>65</v>
      </c>
      <c r="J156" s="209" t="s">
        <v>66</v>
      </c>
      <c r="K156" s="210" t="s">
        <v>47</v>
      </c>
      <c r="L156" s="180" t="s">
        <v>67</v>
      </c>
      <c r="M156" s="180" t="s">
        <v>129</v>
      </c>
      <c r="N156" s="210" t="s">
        <v>125</v>
      </c>
    </row>
    <row r="157" spans="2:14" ht="12.75" hidden="1" outlineLevel="1">
      <c r="B157" s="245" t="s">
        <v>174</v>
      </c>
      <c r="C157" s="187">
        <v>4304</v>
      </c>
      <c r="D157" s="188">
        <v>999.99</v>
      </c>
      <c r="E157" s="184">
        <v>4.25</v>
      </c>
      <c r="F157" s="184">
        <f>ROUND(C157*E157/100,2)-7.5</f>
        <v>175.42</v>
      </c>
      <c r="G157" s="189">
        <f aca="true" t="shared" si="16" ref="G157:G163">F157-D157</f>
        <v>-824.57</v>
      </c>
      <c r="H157" s="200"/>
      <c r="I157" s="225" t="s">
        <v>32</v>
      </c>
      <c r="J157" s="187">
        <v>1747</v>
      </c>
      <c r="K157" s="184">
        <v>999.5</v>
      </c>
      <c r="L157" s="184">
        <v>32</v>
      </c>
      <c r="M157" s="184">
        <f>ROUND(J157*L157/100,2)-7.5</f>
        <v>551.54</v>
      </c>
      <c r="N157" s="189">
        <f aca="true" t="shared" si="17" ref="N157:N163">M157-K157</f>
        <v>-447.96000000000004</v>
      </c>
    </row>
    <row r="158" spans="2:14" ht="12.75" hidden="1" outlineLevel="1">
      <c r="B158" s="103" t="s">
        <v>235</v>
      </c>
      <c r="C158" s="168">
        <v>650</v>
      </c>
      <c r="D158" s="96">
        <v>1003.31</v>
      </c>
      <c r="E158" s="98">
        <v>147</v>
      </c>
      <c r="F158" s="98">
        <f>ROUND(C158*E158/100,2)-7.5</f>
        <v>948</v>
      </c>
      <c r="G158" s="148">
        <f t="shared" si="16"/>
        <v>-55.309999999999945</v>
      </c>
      <c r="H158" s="200"/>
      <c r="I158" s="169" t="s">
        <v>152</v>
      </c>
      <c r="J158" s="168">
        <v>5090</v>
      </c>
      <c r="K158" s="98">
        <v>66.17</v>
      </c>
      <c r="L158" s="98">
        <v>1.8</v>
      </c>
      <c r="M158" s="98">
        <f>ROUND(J158*L158/100,2)-7.5</f>
        <v>84.12</v>
      </c>
      <c r="N158" s="148">
        <f t="shared" si="17"/>
        <v>17.950000000000003</v>
      </c>
    </row>
    <row r="159" spans="2:14" ht="12.75" hidden="1" outlineLevel="1">
      <c r="B159" s="244" t="s">
        <v>210</v>
      </c>
      <c r="C159" s="100">
        <v>2000</v>
      </c>
      <c r="D159" s="94">
        <f>515.44+267.12</f>
        <v>782.5600000000001</v>
      </c>
      <c r="E159" s="98">
        <v>13</v>
      </c>
      <c r="F159" s="98">
        <f>ROUND(C159*E159/100,2)-12</f>
        <v>248</v>
      </c>
      <c r="G159" s="148">
        <f t="shared" si="16"/>
        <v>-534.5600000000001</v>
      </c>
      <c r="H159" s="200"/>
      <c r="I159" s="169" t="s">
        <v>193</v>
      </c>
      <c r="J159" s="168">
        <v>202</v>
      </c>
      <c r="K159" s="98">
        <v>995.61</v>
      </c>
      <c r="L159" s="98">
        <v>412.5</v>
      </c>
      <c r="M159" s="98">
        <f>ROUND(J159*L159/100,2)-7.5</f>
        <v>825.75</v>
      </c>
      <c r="N159" s="148">
        <f t="shared" si="17"/>
        <v>-169.86</v>
      </c>
    </row>
    <row r="160" spans="2:14" ht="12.75" hidden="1" outlineLevel="1">
      <c r="B160" s="103" t="s">
        <v>118</v>
      </c>
      <c r="C160" s="100">
        <v>505</v>
      </c>
      <c r="D160" s="96">
        <f>1015.65+988.36</f>
        <v>2004.01</v>
      </c>
      <c r="E160" s="98">
        <v>418.25</v>
      </c>
      <c r="F160" s="98">
        <f>ROUND(C160*E160/100,2)-(12+7.5)</f>
        <v>2092.66</v>
      </c>
      <c r="G160" s="148">
        <f t="shared" si="16"/>
        <v>88.64999999999986</v>
      </c>
      <c r="H160" s="200"/>
      <c r="I160" s="169" t="s">
        <v>157</v>
      </c>
      <c r="J160" s="234">
        <v>280</v>
      </c>
      <c r="K160" s="235">
        <v>1017.92</v>
      </c>
      <c r="L160" s="236">
        <v>126</v>
      </c>
      <c r="M160" s="98">
        <f>ROUND(J160*L160/100,2)-12</f>
        <v>340.8</v>
      </c>
      <c r="N160" s="148">
        <f t="shared" si="17"/>
        <v>-677.1199999999999</v>
      </c>
    </row>
    <row r="161" spans="2:14" ht="12.75" hidden="1" outlineLevel="1">
      <c r="B161" s="169" t="s">
        <v>184</v>
      </c>
      <c r="C161" s="168">
        <v>755</v>
      </c>
      <c r="D161" s="98">
        <v>1000.74</v>
      </c>
      <c r="E161" s="98">
        <v>84</v>
      </c>
      <c r="F161" s="98">
        <f>ROUND(C161*E161/100,2)-7.5</f>
        <v>626.7</v>
      </c>
      <c r="G161" s="148">
        <f t="shared" si="16"/>
        <v>-374.03999999999996</v>
      </c>
      <c r="H161" s="200"/>
      <c r="I161" s="169" t="s">
        <v>61</v>
      </c>
      <c r="J161" s="168">
        <v>2</v>
      </c>
      <c r="K161" s="229">
        <v>5.16</v>
      </c>
      <c r="L161" s="98">
        <v>191.5</v>
      </c>
      <c r="M161" s="98">
        <f>ROUND(J161*L161/100,2)-12</f>
        <v>-8.17</v>
      </c>
      <c r="N161" s="148">
        <f t="shared" si="17"/>
        <v>-13.33</v>
      </c>
    </row>
    <row r="162" spans="2:14" ht="12.75" hidden="1" outlineLevel="1">
      <c r="B162" s="113" t="s">
        <v>209</v>
      </c>
      <c r="C162" s="174">
        <v>4304</v>
      </c>
      <c r="D162" s="110">
        <v>0</v>
      </c>
      <c r="E162" s="111">
        <v>4.75</v>
      </c>
      <c r="F162" s="111">
        <f>ROUND(C162*E162/100,2)-7.5</f>
        <v>196.94</v>
      </c>
      <c r="G162" s="112">
        <f t="shared" si="16"/>
        <v>196.94</v>
      </c>
      <c r="H162" s="85"/>
      <c r="I162" s="175" t="s">
        <v>94</v>
      </c>
      <c r="J162" s="97">
        <v>364</v>
      </c>
      <c r="K162" s="229">
        <v>1018.01</v>
      </c>
      <c r="L162" s="98">
        <v>100</v>
      </c>
      <c r="M162" s="98">
        <f>ROUND(J162*L162/100,2)-12</f>
        <v>352</v>
      </c>
      <c r="N162" s="148">
        <f t="shared" si="17"/>
        <v>-666.01</v>
      </c>
    </row>
    <row r="163" spans="2:14" ht="12.75" hidden="1" outlineLevel="1">
      <c r="B163" s="226" t="s">
        <v>126</v>
      </c>
      <c r="C163" s="227"/>
      <c r="D163" s="184">
        <f>SUM(D156:D162)</f>
        <v>5790.61</v>
      </c>
      <c r="E163" s="184"/>
      <c r="F163" s="228">
        <f>SUM(F157:F162)</f>
        <v>4287.719999999999</v>
      </c>
      <c r="G163" s="185">
        <f t="shared" si="16"/>
        <v>-1502.8900000000003</v>
      </c>
      <c r="H163" s="85"/>
      <c r="I163" s="226" t="s">
        <v>126</v>
      </c>
      <c r="J163" s="227"/>
      <c r="K163" s="184">
        <f>SUM(K157:K162)</f>
        <v>4102.37</v>
      </c>
      <c r="L163" s="184"/>
      <c r="M163" s="228">
        <f>SUM(M157:M162)</f>
        <v>2146.04</v>
      </c>
      <c r="N163" s="185">
        <f t="shared" si="17"/>
        <v>-1956.33</v>
      </c>
    </row>
    <row r="164" spans="2:14" ht="12.75" hidden="1" outlineLevel="1">
      <c r="B164" s="172"/>
      <c r="C164" s="71"/>
      <c r="D164" s="98"/>
      <c r="E164" s="98"/>
      <c r="F164" s="119"/>
      <c r="G164" s="116"/>
      <c r="H164" s="85"/>
      <c r="I164" s="172"/>
      <c r="J164" s="71"/>
      <c r="K164" s="98"/>
      <c r="L164" s="98"/>
      <c r="M164" s="119"/>
      <c r="N164" s="116"/>
    </row>
    <row r="165" spans="2:14" ht="12.75" hidden="1" outlineLevel="1">
      <c r="B165" s="169" t="s">
        <v>268</v>
      </c>
      <c r="C165" s="7"/>
      <c r="D165" s="7"/>
      <c r="E165" s="71"/>
      <c r="F165" s="97">
        <v>-267.13</v>
      </c>
      <c r="G165" s="116"/>
      <c r="H165" s="85"/>
      <c r="I165" s="169" t="s">
        <v>226</v>
      </c>
      <c r="J165" s="71"/>
      <c r="K165" s="98"/>
      <c r="L165" s="98"/>
      <c r="M165" s="178">
        <v>13.97</v>
      </c>
      <c r="N165" s="116"/>
    </row>
    <row r="166" spans="2:14" ht="12.75" hidden="1" outlineLevel="1">
      <c r="B166" s="175" t="s">
        <v>115</v>
      </c>
      <c r="C166" s="98"/>
      <c r="D166" s="98"/>
      <c r="E166" s="71"/>
      <c r="F166" s="98">
        <v>0.05</v>
      </c>
      <c r="G166" s="179"/>
      <c r="H166" s="85"/>
      <c r="I166" s="175" t="s">
        <v>115</v>
      </c>
      <c r="J166" s="98"/>
      <c r="K166" s="98"/>
      <c r="L166" s="97"/>
      <c r="M166" s="98">
        <v>0.05</v>
      </c>
      <c r="N166" s="173"/>
    </row>
    <row r="167" spans="2:14" ht="12.75" hidden="1" outlineLevel="1">
      <c r="B167" s="103" t="s">
        <v>128</v>
      </c>
      <c r="C167" s="177"/>
      <c r="D167" s="177"/>
      <c r="E167" s="88"/>
      <c r="F167" s="178">
        <f>180</f>
        <v>180</v>
      </c>
      <c r="G167" s="223"/>
      <c r="H167" s="71"/>
      <c r="I167" s="103" t="s">
        <v>128</v>
      </c>
      <c r="J167" s="71"/>
      <c r="K167" s="96"/>
      <c r="L167" s="96"/>
      <c r="M167" s="178">
        <v>180</v>
      </c>
      <c r="N167" s="173"/>
    </row>
    <row r="168" spans="2:14" ht="12.75" hidden="1" outlineLevel="1">
      <c r="B168" s="15" t="s">
        <v>46</v>
      </c>
      <c r="C168" s="9"/>
      <c r="D168" s="9"/>
      <c r="E168" s="211"/>
      <c r="F168" s="111">
        <f>F152</f>
        <v>1261.7099999999996</v>
      </c>
      <c r="G168" s="241"/>
      <c r="H168" s="85"/>
      <c r="I168" s="170" t="s">
        <v>46</v>
      </c>
      <c r="J168" s="211"/>
      <c r="K168" s="211"/>
      <c r="L168" s="211"/>
      <c r="M168" s="111">
        <f>M152</f>
        <v>2788.5799999999995</v>
      </c>
      <c r="N168" s="241"/>
    </row>
    <row r="169" spans="2:15" ht="12.75" hidden="1" outlineLevel="1">
      <c r="B169" s="117" t="s">
        <v>127</v>
      </c>
      <c r="C169" s="177"/>
      <c r="D169" s="177"/>
      <c r="E169" s="88"/>
      <c r="F169" s="119">
        <f>SUM(F165:F168)</f>
        <v>1174.6299999999997</v>
      </c>
      <c r="G169" s="88"/>
      <c r="H169" s="71"/>
      <c r="I169" s="117" t="s">
        <v>127</v>
      </c>
      <c r="J169" s="71"/>
      <c r="K169" s="96"/>
      <c r="L169" s="96"/>
      <c r="M169" s="180">
        <f>SUM(M165:M168)</f>
        <v>2982.5999999999995</v>
      </c>
      <c r="N169" s="91"/>
      <c r="O169" s="138">
        <f>F169+M169</f>
        <v>4157.23</v>
      </c>
    </row>
    <row r="170" spans="2:15" ht="12.75" collapsed="1">
      <c r="B170" s="181" t="s">
        <v>36</v>
      </c>
      <c r="C170" s="177"/>
      <c r="D170" s="177"/>
      <c r="E170" s="88"/>
      <c r="F170" s="119">
        <f>F163+F169</f>
        <v>5462.3499999999985</v>
      </c>
      <c r="G170" s="88"/>
      <c r="H170" s="71"/>
      <c r="I170" s="181" t="s">
        <v>36</v>
      </c>
      <c r="J170" s="72"/>
      <c r="K170" s="96"/>
      <c r="L170" s="96"/>
      <c r="M170" s="119">
        <f>M163+M169</f>
        <v>5128.639999999999</v>
      </c>
      <c r="N170" s="91"/>
      <c r="O170" s="138">
        <f>F170+M170</f>
        <v>10590.989999999998</v>
      </c>
    </row>
    <row r="171" spans="5:14" ht="12.75">
      <c r="E171" s="85"/>
      <c r="F171" s="85"/>
      <c r="G171" s="85"/>
      <c r="H171" s="85"/>
      <c r="I171" s="85"/>
      <c r="J171" s="85"/>
      <c r="K171" s="85"/>
      <c r="L171" s="85"/>
      <c r="M171" s="85"/>
      <c r="N171" s="85"/>
    </row>
    <row r="172" spans="2:14" ht="12.75">
      <c r="B172" s="85"/>
      <c r="C172" s="200"/>
      <c r="D172" s="106"/>
      <c r="E172" s="106"/>
      <c r="F172" s="106"/>
      <c r="G172" s="283" t="s">
        <v>250</v>
      </c>
      <c r="H172" s="283"/>
      <c r="I172" s="283"/>
      <c r="J172" s="85"/>
      <c r="K172" s="85"/>
      <c r="L172" s="85"/>
      <c r="M172" s="85"/>
      <c r="N172" s="85"/>
    </row>
    <row r="173" spans="2:14" ht="12.75" hidden="1" outlineLevel="1">
      <c r="B173" s="209" t="s">
        <v>65</v>
      </c>
      <c r="C173" s="209" t="s">
        <v>66</v>
      </c>
      <c r="D173" s="210" t="s">
        <v>47</v>
      </c>
      <c r="E173" s="180" t="s">
        <v>67</v>
      </c>
      <c r="F173" s="180" t="s">
        <v>129</v>
      </c>
      <c r="G173" s="210" t="s">
        <v>125</v>
      </c>
      <c r="H173" s="85"/>
      <c r="I173" s="209" t="s">
        <v>65</v>
      </c>
      <c r="J173" s="209" t="s">
        <v>66</v>
      </c>
      <c r="K173" s="210" t="s">
        <v>47</v>
      </c>
      <c r="L173" s="180" t="s">
        <v>67</v>
      </c>
      <c r="M173" s="180" t="s">
        <v>129</v>
      </c>
      <c r="N173" s="210" t="s">
        <v>125</v>
      </c>
    </row>
    <row r="174" spans="2:14" ht="12.75" hidden="1" outlineLevel="1">
      <c r="B174" s="245" t="s">
        <v>174</v>
      </c>
      <c r="C174" s="187">
        <v>4304</v>
      </c>
      <c r="D174" s="188">
        <v>999.99</v>
      </c>
      <c r="E174" s="184">
        <v>4</v>
      </c>
      <c r="F174" s="184">
        <f>ROUND(C174*E174/100,2)-7.5</f>
        <v>164.66</v>
      </c>
      <c r="G174" s="189">
        <f aca="true" t="shared" si="18" ref="G174:G179">F174-D174</f>
        <v>-835.33</v>
      </c>
      <c r="H174" s="200"/>
      <c r="I174" s="225" t="s">
        <v>32</v>
      </c>
      <c r="J174" s="187">
        <v>1747</v>
      </c>
      <c r="K174" s="184">
        <v>999.5</v>
      </c>
      <c r="L174" s="184">
        <v>28</v>
      </c>
      <c r="M174" s="184">
        <f>ROUND(J174*L174/100,2)-7.5</f>
        <v>481.66</v>
      </c>
      <c r="N174" s="189">
        <f aca="true" t="shared" si="19" ref="N174:N179">M174-K174</f>
        <v>-517.8399999999999</v>
      </c>
    </row>
    <row r="175" spans="2:14" ht="12.75" hidden="1" outlineLevel="1">
      <c r="B175" s="103" t="s">
        <v>235</v>
      </c>
      <c r="C175" s="168">
        <v>650</v>
      </c>
      <c r="D175" s="96">
        <v>1003.31</v>
      </c>
      <c r="E175" s="98">
        <v>125</v>
      </c>
      <c r="F175" s="98">
        <f>ROUND(C175*E175/100,2)-7.5</f>
        <v>805</v>
      </c>
      <c r="G175" s="148">
        <f t="shared" si="18"/>
        <v>-198.30999999999995</v>
      </c>
      <c r="H175" s="200"/>
      <c r="I175" s="169" t="s">
        <v>152</v>
      </c>
      <c r="J175" s="168">
        <v>5090</v>
      </c>
      <c r="K175" s="98">
        <v>66.17</v>
      </c>
      <c r="L175" s="98">
        <v>1.62</v>
      </c>
      <c r="M175" s="98">
        <f>ROUND(J175*L175/100,2)-7.5</f>
        <v>74.96</v>
      </c>
      <c r="N175" s="148">
        <f t="shared" si="19"/>
        <v>8.789999999999992</v>
      </c>
    </row>
    <row r="176" spans="2:14" ht="12.75" hidden="1" outlineLevel="1">
      <c r="B176" s="244" t="s">
        <v>210</v>
      </c>
      <c r="C176" s="100">
        <v>2000</v>
      </c>
      <c r="D176" s="94">
        <f>515.44+267.12</f>
        <v>782.5600000000001</v>
      </c>
      <c r="E176" s="98">
        <v>11</v>
      </c>
      <c r="F176" s="98">
        <f>ROUND(C176*E176/100,2)-12</f>
        <v>208</v>
      </c>
      <c r="G176" s="148">
        <f t="shared" si="18"/>
        <v>-574.5600000000001</v>
      </c>
      <c r="H176" s="200"/>
      <c r="I176" s="169" t="s">
        <v>193</v>
      </c>
      <c r="J176" s="168">
        <v>202</v>
      </c>
      <c r="K176" s="98">
        <v>995.61</v>
      </c>
      <c r="L176" s="98">
        <v>355</v>
      </c>
      <c r="M176" s="98">
        <f>ROUND(J176*L176/100,2)-7.5</f>
        <v>709.6</v>
      </c>
      <c r="N176" s="148">
        <f t="shared" si="19"/>
        <v>-286.01</v>
      </c>
    </row>
    <row r="177" spans="2:14" ht="12.75" hidden="1" outlineLevel="1">
      <c r="B177" s="103" t="s">
        <v>118</v>
      </c>
      <c r="C177" s="100">
        <v>505</v>
      </c>
      <c r="D177" s="96">
        <f>1015.65+988.36</f>
        <v>2004.01</v>
      </c>
      <c r="E177" s="98">
        <v>403</v>
      </c>
      <c r="F177" s="98">
        <f>ROUND(C177*E177/100,2)-(12+7.5)</f>
        <v>2015.65</v>
      </c>
      <c r="G177" s="148">
        <f t="shared" si="18"/>
        <v>11.6400000000001</v>
      </c>
      <c r="H177" s="200"/>
      <c r="I177" s="169" t="s">
        <v>157</v>
      </c>
      <c r="J177" s="234">
        <v>280</v>
      </c>
      <c r="K177" s="235">
        <v>1017.92</v>
      </c>
      <c r="L177" s="236">
        <v>96</v>
      </c>
      <c r="M177" s="98">
        <f>ROUND(J177*L177/100,2)-12</f>
        <v>256.8</v>
      </c>
      <c r="N177" s="148">
        <f t="shared" si="19"/>
        <v>-761.1199999999999</v>
      </c>
    </row>
    <row r="178" spans="2:14" ht="12.75" hidden="1" outlineLevel="1">
      <c r="B178" s="169" t="s">
        <v>184</v>
      </c>
      <c r="C178" s="168">
        <v>755</v>
      </c>
      <c r="D178" s="98">
        <v>1000.74</v>
      </c>
      <c r="E178" s="98">
        <v>79.75</v>
      </c>
      <c r="F178" s="98">
        <f>ROUND(C178*E178/100,2)-7.5</f>
        <v>594.61</v>
      </c>
      <c r="G178" s="148">
        <f t="shared" si="18"/>
        <v>-406.13</v>
      </c>
      <c r="H178" s="200"/>
      <c r="I178" s="175" t="s">
        <v>159</v>
      </c>
      <c r="J178" s="97">
        <v>4295</v>
      </c>
      <c r="K178" s="229">
        <v>999.86</v>
      </c>
      <c r="L178" s="98">
        <v>21.25</v>
      </c>
      <c r="M178" s="98">
        <f>ROUND(J178*L178/100,2)-7.5</f>
        <v>905.19</v>
      </c>
      <c r="N178" s="148">
        <f t="shared" si="19"/>
        <v>-94.66999999999996</v>
      </c>
    </row>
    <row r="179" spans="2:14" ht="12.75" hidden="1" outlineLevel="1">
      <c r="B179" s="113" t="s">
        <v>209</v>
      </c>
      <c r="C179" s="174">
        <v>4304</v>
      </c>
      <c r="D179" s="110">
        <v>0</v>
      </c>
      <c r="E179" s="111">
        <v>5.25</v>
      </c>
      <c r="F179" s="111">
        <f>ROUND(C179*E179/100,2)-7.5</f>
        <v>218.46</v>
      </c>
      <c r="G179" s="112">
        <f t="shared" si="18"/>
        <v>218.46</v>
      </c>
      <c r="H179" s="85"/>
      <c r="I179" s="169" t="s">
        <v>61</v>
      </c>
      <c r="J179" s="168">
        <v>2</v>
      </c>
      <c r="K179" s="229">
        <v>5.16</v>
      </c>
      <c r="L179" s="98">
        <v>164.25</v>
      </c>
      <c r="M179" s="98">
        <f>ROUND(J179*L179/100,2)-12</f>
        <v>-8.71</v>
      </c>
      <c r="N179" s="148">
        <f t="shared" si="19"/>
        <v>-13.870000000000001</v>
      </c>
    </row>
    <row r="180" spans="2:14" ht="12.75" hidden="1" outlineLevel="1">
      <c r="B180" s="226" t="s">
        <v>126</v>
      </c>
      <c r="C180" s="227"/>
      <c r="D180" s="184">
        <f>SUM(D173:D179)</f>
        <v>5790.61</v>
      </c>
      <c r="E180" s="184"/>
      <c r="F180" s="228">
        <f>SUM(F174:F179)</f>
        <v>4006.38</v>
      </c>
      <c r="G180" s="185">
        <f>F180-D180</f>
        <v>-1784.2299999999996</v>
      </c>
      <c r="H180" s="85"/>
      <c r="I180" s="175" t="s">
        <v>94</v>
      </c>
      <c r="J180" s="97">
        <v>364</v>
      </c>
      <c r="K180" s="229">
        <v>1018.01</v>
      </c>
      <c r="L180" s="98">
        <v>105</v>
      </c>
      <c r="M180" s="98">
        <f>ROUND(J180*L180/100,2)-12</f>
        <v>370.2</v>
      </c>
      <c r="N180" s="148">
        <f>M180-K180</f>
        <v>-647.81</v>
      </c>
    </row>
    <row r="181" spans="2:15" ht="12.75" hidden="1" outlineLevel="1">
      <c r="B181" s="172"/>
      <c r="C181" s="71"/>
      <c r="D181" s="98"/>
      <c r="E181" s="98"/>
      <c r="F181" s="119"/>
      <c r="G181" s="116"/>
      <c r="H181" s="85"/>
      <c r="I181" s="226" t="s">
        <v>126</v>
      </c>
      <c r="J181" s="227"/>
      <c r="K181" s="184">
        <f>SUM(K174:K180)</f>
        <v>5102.2300000000005</v>
      </c>
      <c r="L181" s="184"/>
      <c r="M181" s="228">
        <f>SUM(M174:M180)</f>
        <v>2789.7</v>
      </c>
      <c r="N181" s="185">
        <f>M181-K181</f>
        <v>-2312.5300000000007</v>
      </c>
      <c r="O181" s="129"/>
    </row>
    <row r="182" spans="2:14" ht="12.75" hidden="1" outlineLevel="1">
      <c r="B182" s="172"/>
      <c r="C182" s="71"/>
      <c r="D182" s="98"/>
      <c r="E182" s="98"/>
      <c r="F182" s="119"/>
      <c r="G182" s="116"/>
      <c r="H182" s="85"/>
      <c r="I182" s="172"/>
      <c r="J182" s="71"/>
      <c r="K182" s="98"/>
      <c r="L182" s="98"/>
      <c r="M182" s="119"/>
      <c r="N182" s="116"/>
    </row>
    <row r="183" spans="2:14" ht="12.75" hidden="1" outlineLevel="1">
      <c r="B183" s="169"/>
      <c r="C183" s="7"/>
      <c r="D183" s="7"/>
      <c r="E183" s="71"/>
      <c r="F183" s="97"/>
      <c r="G183" s="116"/>
      <c r="H183" s="85"/>
      <c r="I183" s="169" t="s">
        <v>269</v>
      </c>
      <c r="J183" s="71"/>
      <c r="K183" s="98"/>
      <c r="L183" s="98"/>
      <c r="M183" s="178">
        <v>-999.86</v>
      </c>
      <c r="N183" s="116"/>
    </row>
    <row r="184" spans="2:14" ht="12.75" hidden="1" outlineLevel="1">
      <c r="B184" s="175" t="s">
        <v>115</v>
      </c>
      <c r="C184" s="98"/>
      <c r="D184" s="98"/>
      <c r="E184" s="71"/>
      <c r="F184" s="98">
        <v>2.22</v>
      </c>
      <c r="G184" s="179"/>
      <c r="H184" s="85"/>
      <c r="I184" s="175" t="s">
        <v>115</v>
      </c>
      <c r="J184" s="98"/>
      <c r="K184" s="98"/>
      <c r="L184" s="97"/>
      <c r="M184" s="98">
        <v>2.22</v>
      </c>
      <c r="N184" s="173"/>
    </row>
    <row r="185" spans="2:14" ht="12.75" hidden="1" outlineLevel="1">
      <c r="B185" s="103" t="s">
        <v>128</v>
      </c>
      <c r="C185" s="177"/>
      <c r="D185" s="177"/>
      <c r="E185" s="88"/>
      <c r="F185" s="178">
        <f>180</f>
        <v>180</v>
      </c>
      <c r="G185" s="223"/>
      <c r="H185" s="71"/>
      <c r="I185" s="103" t="s">
        <v>128</v>
      </c>
      <c r="J185" s="71"/>
      <c r="K185" s="96"/>
      <c r="L185" s="96"/>
      <c r="M185" s="178">
        <v>180</v>
      </c>
      <c r="N185" s="173"/>
    </row>
    <row r="186" spans="2:14" ht="12.75" hidden="1" outlineLevel="1">
      <c r="B186" s="15" t="s">
        <v>46</v>
      </c>
      <c r="C186" s="9"/>
      <c r="D186" s="9"/>
      <c r="E186" s="211"/>
      <c r="F186" s="111">
        <f>F169</f>
        <v>1174.6299999999997</v>
      </c>
      <c r="G186" s="241"/>
      <c r="H186" s="85"/>
      <c r="I186" s="170" t="s">
        <v>46</v>
      </c>
      <c r="J186" s="211"/>
      <c r="K186" s="211"/>
      <c r="L186" s="211"/>
      <c r="M186" s="111">
        <f>M169</f>
        <v>2982.5999999999995</v>
      </c>
      <c r="N186" s="241"/>
    </row>
    <row r="187" spans="2:15" ht="12.75" hidden="1" outlineLevel="1">
      <c r="B187" s="117" t="s">
        <v>127</v>
      </c>
      <c r="C187" s="177"/>
      <c r="D187" s="177"/>
      <c r="E187" s="88"/>
      <c r="F187" s="119">
        <f>SUM(F183:F186)</f>
        <v>1356.8499999999997</v>
      </c>
      <c r="G187" s="88"/>
      <c r="H187" s="71"/>
      <c r="I187" s="117" t="s">
        <v>127</v>
      </c>
      <c r="J187" s="71"/>
      <c r="K187" s="96"/>
      <c r="L187" s="96"/>
      <c r="M187" s="180">
        <f>SUM(M183:M186)</f>
        <v>2164.9599999999996</v>
      </c>
      <c r="N187" s="91"/>
      <c r="O187" s="138">
        <f>F187+M187</f>
        <v>3521.8099999999995</v>
      </c>
    </row>
    <row r="188" spans="2:15" ht="12.75" collapsed="1">
      <c r="B188" s="181" t="s">
        <v>36</v>
      </c>
      <c r="C188" s="177"/>
      <c r="D188" s="177"/>
      <c r="E188" s="88"/>
      <c r="F188" s="119">
        <f>F180+F187</f>
        <v>5363.23</v>
      </c>
      <c r="G188" s="88"/>
      <c r="H188" s="71"/>
      <c r="I188" s="181" t="s">
        <v>36</v>
      </c>
      <c r="J188" s="72"/>
      <c r="K188" s="96"/>
      <c r="L188" s="96"/>
      <c r="M188" s="119">
        <f>M181+M187</f>
        <v>4954.66</v>
      </c>
      <c r="N188" s="91"/>
      <c r="O188" s="138">
        <f>F188+M188</f>
        <v>10317.89</v>
      </c>
    </row>
    <row r="189" spans="5:14" ht="12.75">
      <c r="E189" s="85"/>
      <c r="F189" s="85"/>
      <c r="G189" s="85"/>
      <c r="H189" s="85"/>
      <c r="I189" s="85"/>
      <c r="J189" s="85"/>
      <c r="K189" s="85"/>
      <c r="L189" s="85"/>
      <c r="M189" s="85"/>
      <c r="N189" s="85"/>
    </row>
    <row r="190" spans="2:14" ht="12.75">
      <c r="B190" s="85"/>
      <c r="C190" s="200"/>
      <c r="D190" s="106"/>
      <c r="E190" s="106"/>
      <c r="F190" s="106"/>
      <c r="G190" s="283" t="s">
        <v>271</v>
      </c>
      <c r="H190" s="283"/>
      <c r="I190" s="283"/>
      <c r="J190" s="85"/>
      <c r="K190" s="85"/>
      <c r="L190" s="85"/>
      <c r="M190" s="85"/>
      <c r="N190" s="85"/>
    </row>
    <row r="191" spans="2:14" ht="12.75" hidden="1" outlineLevel="1">
      <c r="B191" s="209" t="s">
        <v>65</v>
      </c>
      <c r="C191" s="209" t="s">
        <v>66</v>
      </c>
      <c r="D191" s="210" t="s">
        <v>47</v>
      </c>
      <c r="E191" s="180" t="s">
        <v>67</v>
      </c>
      <c r="F191" s="180" t="s">
        <v>129</v>
      </c>
      <c r="G191" s="210" t="s">
        <v>125</v>
      </c>
      <c r="H191" s="85"/>
      <c r="I191" s="209" t="s">
        <v>65</v>
      </c>
      <c r="J191" s="209" t="s">
        <v>66</v>
      </c>
      <c r="K191" s="210" t="s">
        <v>47</v>
      </c>
      <c r="L191" s="180" t="s">
        <v>67</v>
      </c>
      <c r="M191" s="180" t="s">
        <v>129</v>
      </c>
      <c r="N191" s="210" t="s">
        <v>125</v>
      </c>
    </row>
    <row r="192" spans="2:14" ht="12.75" hidden="1" outlineLevel="1">
      <c r="B192" s="245" t="s">
        <v>174</v>
      </c>
      <c r="C192" s="187">
        <v>4304</v>
      </c>
      <c r="D192" s="188">
        <v>999.99</v>
      </c>
      <c r="E192" s="184">
        <v>4</v>
      </c>
      <c r="F192" s="184">
        <f>ROUND(C192*E192/100,2)-7.5</f>
        <v>164.66</v>
      </c>
      <c r="G192" s="189">
        <f aca="true" t="shared" si="20" ref="G192:G197">F192-D192</f>
        <v>-835.33</v>
      </c>
      <c r="H192" s="200"/>
      <c r="I192" s="225" t="s">
        <v>32</v>
      </c>
      <c r="J192" s="187">
        <v>1747</v>
      </c>
      <c r="K192" s="184">
        <v>999.5</v>
      </c>
      <c r="L192" s="184">
        <v>30</v>
      </c>
      <c r="M192" s="184">
        <f>ROUND(J192*L192/100,2)-7.5</f>
        <v>516.6</v>
      </c>
      <c r="N192" s="189">
        <f aca="true" t="shared" si="21" ref="N192:N197">M192-K192</f>
        <v>-482.9</v>
      </c>
    </row>
    <row r="193" spans="2:14" ht="12.75" hidden="1" outlineLevel="1">
      <c r="B193" s="103" t="s">
        <v>235</v>
      </c>
      <c r="C193" s="168">
        <v>650</v>
      </c>
      <c r="D193" s="96">
        <v>1003.31</v>
      </c>
      <c r="E193" s="98">
        <v>147</v>
      </c>
      <c r="F193" s="98">
        <f>ROUND(C193*E193/100,2)-7.5</f>
        <v>948</v>
      </c>
      <c r="G193" s="148">
        <f t="shared" si="20"/>
        <v>-55.309999999999945</v>
      </c>
      <c r="H193" s="200"/>
      <c r="I193" s="169" t="s">
        <v>270</v>
      </c>
      <c r="J193" s="234">
        <v>249</v>
      </c>
      <c r="K193" s="235">
        <v>499.98</v>
      </c>
      <c r="L193" s="236">
        <v>205</v>
      </c>
      <c r="M193" s="98">
        <f>ROUND(J193*L193/100,2)-7.5</f>
        <v>502.95</v>
      </c>
      <c r="N193" s="148">
        <f t="shared" si="21"/>
        <v>2.9699999999999704</v>
      </c>
    </row>
    <row r="194" spans="2:14" ht="12.75" hidden="1" outlineLevel="1">
      <c r="B194" s="244" t="s">
        <v>210</v>
      </c>
      <c r="C194" s="100">
        <v>2000</v>
      </c>
      <c r="D194" s="94">
        <f>515.44+267.12</f>
        <v>782.5600000000001</v>
      </c>
      <c r="E194" s="98">
        <v>12</v>
      </c>
      <c r="F194" s="98">
        <f>ROUND(C194*E194/100,2)-12</f>
        <v>228</v>
      </c>
      <c r="G194" s="148">
        <f t="shared" si="20"/>
        <v>-554.5600000000001</v>
      </c>
      <c r="H194" s="200"/>
      <c r="I194" s="169" t="s">
        <v>152</v>
      </c>
      <c r="J194" s="168">
        <v>5090</v>
      </c>
      <c r="K194" s="98">
        <v>66.17</v>
      </c>
      <c r="L194" s="98">
        <v>2.13</v>
      </c>
      <c r="M194" s="98">
        <f>ROUND(J194*L194/100,2)-7.5</f>
        <v>100.92</v>
      </c>
      <c r="N194" s="148">
        <f t="shared" si="21"/>
        <v>34.75</v>
      </c>
    </row>
    <row r="195" spans="2:14" ht="12.75" hidden="1" outlineLevel="1">
      <c r="B195" s="103" t="s">
        <v>118</v>
      </c>
      <c r="C195" s="100">
        <v>505</v>
      </c>
      <c r="D195" s="96">
        <f>1015.65+988.36</f>
        <v>2004.01</v>
      </c>
      <c r="E195" s="98">
        <v>409.25</v>
      </c>
      <c r="F195" s="98">
        <f>ROUND(C195*E195/100,2)-(12+7.5)</f>
        <v>2047.21</v>
      </c>
      <c r="G195" s="148">
        <f t="shared" si="20"/>
        <v>43.200000000000045</v>
      </c>
      <c r="H195" s="200"/>
      <c r="I195" s="169" t="s">
        <v>193</v>
      </c>
      <c r="J195" s="168">
        <v>202</v>
      </c>
      <c r="K195" s="98">
        <v>995.61</v>
      </c>
      <c r="L195" s="98">
        <v>321</v>
      </c>
      <c r="M195" s="98">
        <f>ROUND(J195*L195/100,2)-7.5</f>
        <v>640.92</v>
      </c>
      <c r="N195" s="148">
        <f t="shared" si="21"/>
        <v>-354.69000000000005</v>
      </c>
    </row>
    <row r="196" spans="2:14" ht="12.75" hidden="1" outlineLevel="1">
      <c r="B196" s="169" t="s">
        <v>184</v>
      </c>
      <c r="C196" s="168">
        <v>755</v>
      </c>
      <c r="D196" s="98">
        <v>1000.74</v>
      </c>
      <c r="E196" s="98">
        <v>78.25</v>
      </c>
      <c r="F196" s="98">
        <f>ROUND(C196*E196/100,2)-7.5</f>
        <v>583.29</v>
      </c>
      <c r="G196" s="148">
        <f t="shared" si="20"/>
        <v>-417.45000000000005</v>
      </c>
      <c r="H196" s="200"/>
      <c r="I196" s="175" t="s">
        <v>159</v>
      </c>
      <c r="J196" s="97">
        <v>4295</v>
      </c>
      <c r="K196" s="229">
        <v>999.86</v>
      </c>
      <c r="L196" s="98">
        <v>11.75</v>
      </c>
      <c r="M196" s="98">
        <f>ROUND(J196*L196/100,2)-7.5</f>
        <v>497.16</v>
      </c>
      <c r="N196" s="148">
        <f>M196-K196</f>
        <v>-502.7</v>
      </c>
    </row>
    <row r="197" spans="2:14" ht="12.75" hidden="1" outlineLevel="1">
      <c r="B197" s="113" t="s">
        <v>209</v>
      </c>
      <c r="C197" s="174">
        <v>4304</v>
      </c>
      <c r="D197" s="110">
        <v>0</v>
      </c>
      <c r="E197" s="111">
        <v>5.25</v>
      </c>
      <c r="F197" s="111">
        <f>ROUND(C197*E197/100,2)-7.5</f>
        <v>218.46</v>
      </c>
      <c r="G197" s="112">
        <f t="shared" si="20"/>
        <v>218.46</v>
      </c>
      <c r="H197" s="85"/>
      <c r="I197" s="169" t="s">
        <v>61</v>
      </c>
      <c r="J197" s="168">
        <v>2</v>
      </c>
      <c r="K197" s="229">
        <v>5.16</v>
      </c>
      <c r="L197" s="98">
        <v>161</v>
      </c>
      <c r="M197" s="98">
        <f>ROUND(J197*L197/100,2)-12</f>
        <v>-8.78</v>
      </c>
      <c r="N197" s="148">
        <f t="shared" si="21"/>
        <v>-13.94</v>
      </c>
    </row>
    <row r="198" spans="2:14" ht="12.75" hidden="1" outlineLevel="1">
      <c r="B198" s="226" t="s">
        <v>126</v>
      </c>
      <c r="C198" s="227"/>
      <c r="D198" s="184">
        <f>SUM(D191:D197)</f>
        <v>5790.61</v>
      </c>
      <c r="E198" s="184"/>
      <c r="F198" s="228">
        <f>SUM(F192:F197)</f>
        <v>4189.62</v>
      </c>
      <c r="G198" s="185">
        <f>F198-D198</f>
        <v>-1600.9899999999998</v>
      </c>
      <c r="H198" s="85"/>
      <c r="I198" s="226" t="s">
        <v>126</v>
      </c>
      <c r="J198" s="227"/>
      <c r="K198" s="184">
        <f>SUM(K192:K197)</f>
        <v>3566.28</v>
      </c>
      <c r="L198" s="184"/>
      <c r="M198" s="228">
        <f>SUM(M192:M197)</f>
        <v>2249.7699999999995</v>
      </c>
      <c r="N198" s="185">
        <f>M198-K198</f>
        <v>-1316.5100000000007</v>
      </c>
    </row>
    <row r="199" spans="2:14" ht="12.75" hidden="1" outlineLevel="1">
      <c r="B199" s="172"/>
      <c r="C199" s="71"/>
      <c r="D199" s="98"/>
      <c r="E199" s="98"/>
      <c r="F199" s="119"/>
      <c r="G199" s="116"/>
      <c r="H199" s="85"/>
      <c r="I199" s="172"/>
      <c r="J199" s="71"/>
      <c r="K199" s="98"/>
      <c r="L199" s="98"/>
      <c r="M199" s="119"/>
      <c r="N199" s="116"/>
    </row>
    <row r="200" spans="2:14" ht="12.75" hidden="1" outlineLevel="1">
      <c r="B200" s="172"/>
      <c r="C200" s="71"/>
      <c r="D200" s="98"/>
      <c r="E200" s="98"/>
      <c r="F200" s="119"/>
      <c r="G200" s="116"/>
      <c r="H200" s="85"/>
      <c r="I200" s="169" t="s">
        <v>270</v>
      </c>
      <c r="J200" s="71"/>
      <c r="K200" s="98"/>
      <c r="L200" s="98"/>
      <c r="M200" s="178">
        <v>-499.98</v>
      </c>
      <c r="N200" s="116"/>
    </row>
    <row r="201" spans="2:14" ht="12.75" hidden="1" outlineLevel="1">
      <c r="B201" s="172"/>
      <c r="C201" s="71"/>
      <c r="D201" s="98"/>
      <c r="E201" s="98"/>
      <c r="F201" s="119"/>
      <c r="G201" s="116"/>
      <c r="H201" s="85"/>
      <c r="I201" s="169" t="s">
        <v>94</v>
      </c>
      <c r="J201" s="71"/>
      <c r="K201" s="98"/>
      <c r="L201" s="98"/>
      <c r="M201" s="178">
        <v>399.32</v>
      </c>
      <c r="N201" s="116"/>
    </row>
    <row r="202" spans="2:15" ht="12.75" hidden="1" outlineLevel="1">
      <c r="B202" s="169" t="s">
        <v>192</v>
      </c>
      <c r="C202" s="71"/>
      <c r="D202" s="98"/>
      <c r="E202" s="98"/>
      <c r="F202" s="178">
        <v>39.69</v>
      </c>
      <c r="G202" s="116"/>
      <c r="H202" s="85"/>
      <c r="I202" s="169" t="s">
        <v>151</v>
      </c>
      <c r="J202" s="71"/>
      <c r="K202" s="98"/>
      <c r="L202" s="98"/>
      <c r="M202" s="178">
        <v>220.46</v>
      </c>
      <c r="N202" s="116"/>
      <c r="O202" s="129"/>
    </row>
    <row r="203" spans="2:14" ht="12.75" hidden="1" outlineLevel="1">
      <c r="B203" s="175" t="s">
        <v>115</v>
      </c>
      <c r="C203" s="98"/>
      <c r="D203" s="98"/>
      <c r="E203" s="71"/>
      <c r="F203" s="98">
        <v>1.71</v>
      </c>
      <c r="G203" s="179"/>
      <c r="H203" s="85"/>
      <c r="I203" s="175" t="s">
        <v>115</v>
      </c>
      <c r="J203" s="98"/>
      <c r="K203" s="98"/>
      <c r="L203" s="97"/>
      <c r="M203" s="98">
        <v>1.72</v>
      </c>
      <c r="N203" s="173"/>
    </row>
    <row r="204" spans="2:14" ht="12.75" hidden="1" outlineLevel="1">
      <c r="B204" s="103" t="s">
        <v>128</v>
      </c>
      <c r="C204" s="177"/>
      <c r="D204" s="177"/>
      <c r="E204" s="88"/>
      <c r="F204" s="178">
        <f>180</f>
        <v>180</v>
      </c>
      <c r="G204" s="223"/>
      <c r="H204" s="71"/>
      <c r="I204" s="103" t="s">
        <v>128</v>
      </c>
      <c r="J204" s="71"/>
      <c r="K204" s="96"/>
      <c r="L204" s="96"/>
      <c r="M204" s="178">
        <v>180</v>
      </c>
      <c r="N204" s="173"/>
    </row>
    <row r="205" spans="2:14" ht="12.75" hidden="1" outlineLevel="1">
      <c r="B205" s="15" t="s">
        <v>46</v>
      </c>
      <c r="C205" s="9"/>
      <c r="D205" s="9"/>
      <c r="E205" s="211"/>
      <c r="F205" s="111">
        <f>F187</f>
        <v>1356.8499999999997</v>
      </c>
      <c r="G205" s="241"/>
      <c r="H205" s="85"/>
      <c r="I205" s="170" t="s">
        <v>46</v>
      </c>
      <c r="J205" s="211"/>
      <c r="K205" s="211"/>
      <c r="L205" s="211"/>
      <c r="M205" s="111">
        <f>M187</f>
        <v>2164.9599999999996</v>
      </c>
      <c r="N205" s="241"/>
    </row>
    <row r="206" spans="2:15" ht="12.75" hidden="1" outlineLevel="1">
      <c r="B206" s="117" t="s">
        <v>127</v>
      </c>
      <c r="C206" s="177"/>
      <c r="D206" s="177"/>
      <c r="E206" s="88"/>
      <c r="F206" s="119">
        <f>SUM(F202:F205)</f>
        <v>1578.2499999999998</v>
      </c>
      <c r="G206" s="88"/>
      <c r="H206" s="71"/>
      <c r="I206" s="117" t="s">
        <v>127</v>
      </c>
      <c r="J206" s="71"/>
      <c r="K206" s="96"/>
      <c r="L206" s="96"/>
      <c r="M206" s="180">
        <f>SUM(M200:M205)</f>
        <v>2466.4799999999996</v>
      </c>
      <c r="N206" s="91"/>
      <c r="O206" s="138">
        <f>F206+M206</f>
        <v>4044.7299999999996</v>
      </c>
    </row>
    <row r="207" spans="2:15" ht="12.75" collapsed="1">
      <c r="B207" s="181" t="s">
        <v>36</v>
      </c>
      <c r="C207" s="177"/>
      <c r="D207" s="177"/>
      <c r="E207" s="88"/>
      <c r="F207" s="119">
        <f>F198+F206</f>
        <v>5767.87</v>
      </c>
      <c r="G207" s="88"/>
      <c r="H207" s="71"/>
      <c r="I207" s="181" t="s">
        <v>36</v>
      </c>
      <c r="J207" s="72"/>
      <c r="K207" s="96"/>
      <c r="L207" s="96"/>
      <c r="M207" s="119">
        <f>M198+M206</f>
        <v>4716.249999999999</v>
      </c>
      <c r="N207" s="91"/>
      <c r="O207" s="138">
        <f>F207+M207</f>
        <v>10484.119999999999</v>
      </c>
    </row>
    <row r="208" spans="5:14" ht="12.75"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2:14" ht="12.75">
      <c r="B209" s="85"/>
      <c r="C209" s="200"/>
      <c r="D209" s="106"/>
      <c r="E209" s="106"/>
      <c r="F209" s="106"/>
      <c r="G209" s="283" t="s">
        <v>281</v>
      </c>
      <c r="H209" s="283"/>
      <c r="I209" s="283"/>
      <c r="J209" s="85"/>
      <c r="K209" s="85"/>
      <c r="L209" s="85"/>
      <c r="M209" s="85"/>
      <c r="N209" s="85"/>
    </row>
    <row r="210" spans="2:14" ht="12.75" hidden="1" outlineLevel="1">
      <c r="B210" s="209" t="s">
        <v>65</v>
      </c>
      <c r="C210" s="209" t="s">
        <v>66</v>
      </c>
      <c r="D210" s="210" t="s">
        <v>47</v>
      </c>
      <c r="E210" s="180" t="s">
        <v>67</v>
      </c>
      <c r="F210" s="180" t="s">
        <v>129</v>
      </c>
      <c r="G210" s="210" t="s">
        <v>125</v>
      </c>
      <c r="H210" s="85"/>
      <c r="I210" s="209" t="s">
        <v>65</v>
      </c>
      <c r="J210" s="209" t="s">
        <v>66</v>
      </c>
      <c r="K210" s="210" t="s">
        <v>47</v>
      </c>
      <c r="L210" s="180" t="s">
        <v>67</v>
      </c>
      <c r="M210" s="180" t="s">
        <v>129</v>
      </c>
      <c r="N210" s="210" t="s">
        <v>125</v>
      </c>
    </row>
    <row r="211" spans="2:14" ht="12.75" hidden="1" outlineLevel="1">
      <c r="B211" s="245" t="s">
        <v>174</v>
      </c>
      <c r="C211" s="187">
        <v>4304</v>
      </c>
      <c r="D211" s="188">
        <v>999.99</v>
      </c>
      <c r="E211" s="184">
        <v>3.5</v>
      </c>
      <c r="F211" s="184">
        <f aca="true" t="shared" si="22" ref="F211:F216">ROUND(C211*E211/100,2)-7.5</f>
        <v>143.14</v>
      </c>
      <c r="G211" s="189">
        <f aca="true" t="shared" si="23" ref="G211:G216">F211-D211</f>
        <v>-856.85</v>
      </c>
      <c r="H211" s="200"/>
      <c r="I211" s="225" t="s">
        <v>193</v>
      </c>
      <c r="J211" s="187">
        <v>272</v>
      </c>
      <c r="K211" s="184">
        <v>997.33</v>
      </c>
      <c r="L211" s="184">
        <v>350</v>
      </c>
      <c r="M211" s="184">
        <f>ROUND(J211*L211/100,2)-7.5</f>
        <v>944.5</v>
      </c>
      <c r="N211" s="189">
        <f>M211-K211</f>
        <v>-52.83000000000004</v>
      </c>
    </row>
    <row r="212" spans="2:14" ht="12.75" hidden="1" outlineLevel="1">
      <c r="B212" s="103" t="s">
        <v>235</v>
      </c>
      <c r="C212" s="168">
        <v>650</v>
      </c>
      <c r="D212" s="96">
        <v>1003.31</v>
      </c>
      <c r="E212" s="98">
        <v>146</v>
      </c>
      <c r="F212" s="98">
        <f t="shared" si="22"/>
        <v>941.5</v>
      </c>
      <c r="G212" s="148">
        <f t="shared" si="23"/>
        <v>-61.809999999999945</v>
      </c>
      <c r="H212" s="200"/>
      <c r="I212" s="169" t="s">
        <v>274</v>
      </c>
      <c r="J212" s="234">
        <v>182</v>
      </c>
      <c r="K212" s="235">
        <v>499.08</v>
      </c>
      <c r="L212" s="236">
        <v>273</v>
      </c>
      <c r="M212" s="98">
        <f>ROUND(J212*L212/100,2)-7.5</f>
        <v>489.36</v>
      </c>
      <c r="N212" s="148">
        <f>M212-K212</f>
        <v>-9.71999999999997</v>
      </c>
    </row>
    <row r="213" spans="2:14" ht="12.75" hidden="1" outlineLevel="1">
      <c r="B213" s="244" t="s">
        <v>210</v>
      </c>
      <c r="C213" s="100">
        <v>2000</v>
      </c>
      <c r="D213" s="94">
        <f>515.44+267.12</f>
        <v>782.5600000000001</v>
      </c>
      <c r="E213" s="98">
        <v>11</v>
      </c>
      <c r="F213" s="98">
        <f t="shared" si="22"/>
        <v>212.5</v>
      </c>
      <c r="G213" s="148">
        <f t="shared" si="23"/>
        <v>-570.0600000000001</v>
      </c>
      <c r="H213" s="200"/>
      <c r="I213" s="175" t="s">
        <v>159</v>
      </c>
      <c r="J213" s="97">
        <v>4295</v>
      </c>
      <c r="K213" s="229">
        <v>999.86</v>
      </c>
      <c r="L213" s="98">
        <v>15</v>
      </c>
      <c r="M213" s="98">
        <f>ROUND(J213*L213/100,2)-7.5</f>
        <v>636.75</v>
      </c>
      <c r="N213" s="148">
        <f>M213-K213</f>
        <v>-363.11</v>
      </c>
    </row>
    <row r="214" spans="2:14" ht="12.75" hidden="1" outlineLevel="1">
      <c r="B214" s="103" t="s">
        <v>118</v>
      </c>
      <c r="C214" s="100">
        <v>505</v>
      </c>
      <c r="D214" s="96">
        <f>1015.65+988.36</f>
        <v>2004.01</v>
      </c>
      <c r="E214" s="98">
        <v>403.25</v>
      </c>
      <c r="F214" s="98">
        <f t="shared" si="22"/>
        <v>2028.91</v>
      </c>
      <c r="G214" s="148">
        <f t="shared" si="23"/>
        <v>24.90000000000009</v>
      </c>
      <c r="H214" s="200"/>
      <c r="I214" s="169" t="s">
        <v>61</v>
      </c>
      <c r="J214" s="168">
        <v>528</v>
      </c>
      <c r="K214" s="96">
        <f>5.17+998.36</f>
        <v>1003.53</v>
      </c>
      <c r="L214" s="98">
        <v>178.5</v>
      </c>
      <c r="M214" s="98">
        <f>ROUND(J214*L214/100,2)-7.5</f>
        <v>934.98</v>
      </c>
      <c r="N214" s="148">
        <f>M214-K214</f>
        <v>-68.54999999999995</v>
      </c>
    </row>
    <row r="215" spans="2:14" ht="12.75" hidden="1" outlineLevel="1">
      <c r="B215" s="169" t="s">
        <v>184</v>
      </c>
      <c r="C215" s="168">
        <v>755</v>
      </c>
      <c r="D215" s="98">
        <v>1000.74</v>
      </c>
      <c r="E215" s="98">
        <v>85</v>
      </c>
      <c r="F215" s="98">
        <f t="shared" si="22"/>
        <v>634.25</v>
      </c>
      <c r="G215" s="148">
        <f t="shared" si="23"/>
        <v>-366.49</v>
      </c>
      <c r="H215" s="200"/>
      <c r="I215" s="226" t="s">
        <v>126</v>
      </c>
      <c r="J215" s="227"/>
      <c r="K215" s="184">
        <f>SUM(K211:K214)</f>
        <v>3499.8</v>
      </c>
      <c r="L215" s="184"/>
      <c r="M215" s="228">
        <f>SUM(M211:M214)</f>
        <v>3005.59</v>
      </c>
      <c r="N215" s="185">
        <f>M215-K215</f>
        <v>-494.21000000000004</v>
      </c>
    </row>
    <row r="216" spans="2:14" ht="12.75" hidden="1" outlineLevel="1">
      <c r="B216" s="113" t="s">
        <v>209</v>
      </c>
      <c r="C216" s="174">
        <v>4304</v>
      </c>
      <c r="D216" s="110">
        <v>0</v>
      </c>
      <c r="E216" s="111">
        <v>4.25</v>
      </c>
      <c r="F216" s="111">
        <f t="shared" si="22"/>
        <v>175.42</v>
      </c>
      <c r="G216" s="112">
        <f t="shared" si="23"/>
        <v>175.42</v>
      </c>
      <c r="H216" s="85"/>
      <c r="I216" s="172"/>
      <c r="J216" s="71"/>
      <c r="K216" s="98"/>
      <c r="L216" s="98"/>
      <c r="M216" s="119"/>
      <c r="N216" s="116"/>
    </row>
    <row r="217" spans="2:14" ht="12.75" hidden="1" outlineLevel="1">
      <c r="B217" s="226" t="s">
        <v>126</v>
      </c>
      <c r="C217" s="227"/>
      <c r="D217" s="184">
        <f>SUM(D210:D216)</f>
        <v>5790.61</v>
      </c>
      <c r="E217" s="184"/>
      <c r="F217" s="228">
        <f>SUM(F211:F216)</f>
        <v>4135.72</v>
      </c>
      <c r="G217" s="185">
        <f>F217-D217</f>
        <v>-1654.8899999999994</v>
      </c>
      <c r="H217" s="85"/>
      <c r="I217" s="172"/>
      <c r="J217" s="71"/>
      <c r="K217" s="98"/>
      <c r="L217" s="98"/>
      <c r="M217" s="119"/>
      <c r="N217" s="116"/>
    </row>
    <row r="218" spans="2:14" ht="12.75" hidden="1" outlineLevel="1">
      <c r="B218" s="172"/>
      <c r="C218" s="71"/>
      <c r="D218" s="98"/>
      <c r="E218" s="98"/>
      <c r="F218" s="119"/>
      <c r="G218" s="116"/>
      <c r="H218" s="85"/>
      <c r="I218" s="255" t="s">
        <v>152</v>
      </c>
      <c r="J218" s="98"/>
      <c r="K218" s="71"/>
      <c r="L218" s="98"/>
      <c r="M218" s="98">
        <v>90.23</v>
      </c>
      <c r="N218" s="116"/>
    </row>
    <row r="219" spans="2:14" ht="12.75" hidden="1" outlineLevel="1">
      <c r="B219" s="172"/>
      <c r="C219" s="71"/>
      <c r="D219" s="98"/>
      <c r="E219" s="98"/>
      <c r="F219" s="119"/>
      <c r="G219" s="116"/>
      <c r="H219" s="85"/>
      <c r="I219" s="255" t="s">
        <v>270</v>
      </c>
      <c r="J219" s="98"/>
      <c r="K219" s="71"/>
      <c r="L219" s="98"/>
      <c r="M219" s="98">
        <v>470.78</v>
      </c>
      <c r="N219" s="116"/>
    </row>
    <row r="220" spans="2:14" ht="12.75" hidden="1" outlineLevel="1">
      <c r="B220" s="172"/>
      <c r="C220" s="71"/>
      <c r="D220" s="98"/>
      <c r="E220" s="98"/>
      <c r="F220" s="119"/>
      <c r="G220" s="116"/>
      <c r="H220" s="85"/>
      <c r="I220" s="255" t="s">
        <v>279</v>
      </c>
      <c r="J220" s="98"/>
      <c r="K220" s="71"/>
      <c r="L220" s="98"/>
      <c r="M220" s="98">
        <v>486.03</v>
      </c>
      <c r="N220" s="116"/>
    </row>
    <row r="221" spans="2:14" ht="12.75" hidden="1" outlineLevel="1">
      <c r="B221" s="172"/>
      <c r="C221" s="71"/>
      <c r="D221" s="98"/>
      <c r="E221" s="98"/>
      <c r="F221" s="119"/>
      <c r="G221" s="116"/>
      <c r="H221" s="85"/>
      <c r="I221" s="169" t="s">
        <v>193</v>
      </c>
      <c r="J221" s="71"/>
      <c r="K221" s="98"/>
      <c r="L221" s="98"/>
      <c r="M221" s="178">
        <v>610.72</v>
      </c>
      <c r="N221" s="116"/>
    </row>
    <row r="222" spans="2:14" ht="12.75" hidden="1" outlineLevel="1">
      <c r="B222" s="172"/>
      <c r="C222" s="71"/>
      <c r="D222" s="98"/>
      <c r="E222" s="98"/>
      <c r="F222" s="119"/>
      <c r="G222" s="116"/>
      <c r="H222" s="85"/>
      <c r="I222" s="255" t="s">
        <v>61</v>
      </c>
      <c r="J222" s="71"/>
      <c r="K222" s="98"/>
      <c r="L222" s="98"/>
      <c r="M222" s="98">
        <v>-998.36</v>
      </c>
      <c r="N222" s="116"/>
    </row>
    <row r="223" spans="2:14" ht="12.75" hidden="1" outlineLevel="1">
      <c r="B223" s="172"/>
      <c r="C223" s="71"/>
      <c r="D223" s="98"/>
      <c r="E223" s="98"/>
      <c r="F223" s="119"/>
      <c r="G223" s="116"/>
      <c r="H223" s="85"/>
      <c r="I223" s="255" t="s">
        <v>193</v>
      </c>
      <c r="J223" s="71"/>
      <c r="K223" s="98"/>
      <c r="L223" s="98"/>
      <c r="M223" s="98">
        <v>-997.33</v>
      </c>
      <c r="N223" s="116"/>
    </row>
    <row r="224" spans="2:14" ht="12.75" hidden="1" outlineLevel="1">
      <c r="B224" s="169" t="s">
        <v>282</v>
      </c>
      <c r="C224" s="71"/>
      <c r="D224" s="98"/>
      <c r="E224" s="98"/>
      <c r="F224" s="178">
        <v>18.2</v>
      </c>
      <c r="G224" s="116"/>
      <c r="H224" s="85"/>
      <c r="I224" s="169" t="s">
        <v>274</v>
      </c>
      <c r="J224" s="71"/>
      <c r="K224" s="98"/>
      <c r="L224" s="98"/>
      <c r="M224" s="178">
        <v>-499.08</v>
      </c>
      <c r="N224" s="116"/>
    </row>
    <row r="225" spans="2:15" ht="12.75" hidden="1" outlineLevel="1">
      <c r="B225" s="13" t="s">
        <v>278</v>
      </c>
      <c r="C225" s="71"/>
      <c r="D225" s="98"/>
      <c r="E225" s="98"/>
      <c r="F225" s="178">
        <v>-10</v>
      </c>
      <c r="G225" s="116"/>
      <c r="H225" s="85"/>
      <c r="I225" s="175" t="s">
        <v>278</v>
      </c>
      <c r="J225" s="71"/>
      <c r="K225" s="98"/>
      <c r="L225" s="98"/>
      <c r="M225" s="178">
        <v>-10</v>
      </c>
      <c r="N225" s="116"/>
      <c r="O225" s="129"/>
    </row>
    <row r="226" spans="2:14" ht="12.75" hidden="1" outlineLevel="1">
      <c r="B226" s="175" t="s">
        <v>115</v>
      </c>
      <c r="C226" s="98"/>
      <c r="D226" s="98"/>
      <c r="E226" s="71"/>
      <c r="F226" s="98">
        <v>1.03</v>
      </c>
      <c r="G226" s="179"/>
      <c r="H226" s="85"/>
      <c r="I226" s="175" t="s">
        <v>115</v>
      </c>
      <c r="J226" s="98"/>
      <c r="K226" s="98"/>
      <c r="L226" s="97"/>
      <c r="M226" s="98">
        <v>1.03</v>
      </c>
      <c r="N226" s="173"/>
    </row>
    <row r="227" spans="2:14" ht="12.75" hidden="1" outlineLevel="1">
      <c r="B227" s="103" t="s">
        <v>128</v>
      </c>
      <c r="C227" s="177"/>
      <c r="D227" s="177"/>
      <c r="E227" s="88"/>
      <c r="F227" s="178">
        <f>180</f>
        <v>180</v>
      </c>
      <c r="G227" s="223"/>
      <c r="H227" s="71"/>
      <c r="I227" s="103" t="s">
        <v>128</v>
      </c>
      <c r="J227" s="71"/>
      <c r="K227" s="96"/>
      <c r="L227" s="96"/>
      <c r="M227" s="178">
        <v>180</v>
      </c>
      <c r="N227" s="173"/>
    </row>
    <row r="228" spans="2:14" ht="12.75" hidden="1" outlineLevel="1">
      <c r="B228" s="15" t="s">
        <v>46</v>
      </c>
      <c r="C228" s="9"/>
      <c r="D228" s="9"/>
      <c r="E228" s="211"/>
      <c r="F228" s="111">
        <f>F206</f>
        <v>1578.2499999999998</v>
      </c>
      <c r="G228" s="241"/>
      <c r="H228" s="85"/>
      <c r="I228" s="170" t="s">
        <v>46</v>
      </c>
      <c r="J228" s="211"/>
      <c r="K228" s="211"/>
      <c r="L228" s="211"/>
      <c r="M228" s="111">
        <f>M206</f>
        <v>2466.4799999999996</v>
      </c>
      <c r="N228" s="241"/>
    </row>
    <row r="229" spans="2:15" ht="12.75" hidden="1" outlineLevel="1">
      <c r="B229" s="117" t="s">
        <v>127</v>
      </c>
      <c r="C229" s="177"/>
      <c r="D229" s="177"/>
      <c r="E229" s="88"/>
      <c r="F229" s="119">
        <f>SUM(F224:F228)</f>
        <v>1767.4799999999998</v>
      </c>
      <c r="G229" s="88"/>
      <c r="H229" s="71"/>
      <c r="I229" s="117" t="s">
        <v>127</v>
      </c>
      <c r="J229" s="71"/>
      <c r="K229" s="96"/>
      <c r="L229" s="96"/>
      <c r="M229" s="180">
        <f>SUM(M218:M228)</f>
        <v>1800.4999999999995</v>
      </c>
      <c r="N229" s="91"/>
      <c r="O229" s="138">
        <f>F229+M229</f>
        <v>3567.9799999999996</v>
      </c>
    </row>
    <row r="230" spans="2:15" ht="12.75" collapsed="1">
      <c r="B230" s="181" t="s">
        <v>36</v>
      </c>
      <c r="C230" s="177"/>
      <c r="D230" s="177"/>
      <c r="E230" s="88"/>
      <c r="F230" s="119">
        <f>F217+F229</f>
        <v>5903.2</v>
      </c>
      <c r="G230" s="88"/>
      <c r="H230" s="71"/>
      <c r="I230" s="181" t="s">
        <v>36</v>
      </c>
      <c r="J230" s="72"/>
      <c r="K230" s="96"/>
      <c r="L230" s="96"/>
      <c r="M230" s="119">
        <f>M215+M229</f>
        <v>4806.09</v>
      </c>
      <c r="N230" s="91"/>
      <c r="O230" s="138">
        <f>F230+M230</f>
        <v>10709.29</v>
      </c>
    </row>
    <row r="231" spans="5:14" ht="12.75">
      <c r="E231" s="85"/>
      <c r="F231" s="85"/>
      <c r="G231" s="85"/>
      <c r="H231" s="85"/>
      <c r="I231" s="85"/>
      <c r="J231" s="85"/>
      <c r="K231" s="85"/>
      <c r="L231" s="85"/>
      <c r="M231" s="85"/>
      <c r="N231" s="85"/>
    </row>
    <row r="232" spans="6:13" ht="12.75">
      <c r="F232" s="85"/>
      <c r="G232" s="85"/>
      <c r="H232" s="85"/>
      <c r="I232" s="85"/>
      <c r="J232" s="85"/>
      <c r="K232" s="85"/>
      <c r="L232" s="85"/>
      <c r="M232" s="85"/>
    </row>
    <row r="233" spans="6:15" s="7" customFormat="1" ht="12.75">
      <c r="F233" s="71"/>
      <c r="G233" s="71"/>
      <c r="H233" s="71"/>
      <c r="J233" s="256"/>
      <c r="K233" s="94"/>
      <c r="L233" s="94"/>
      <c r="M233" s="91"/>
      <c r="N233" s="8"/>
      <c r="O233" s="124"/>
    </row>
    <row r="234" spans="6:15" s="7" customFormat="1" ht="12.75">
      <c r="F234" s="71"/>
      <c r="H234" s="256"/>
      <c r="I234" s="94"/>
      <c r="J234" s="94"/>
      <c r="K234" s="91"/>
      <c r="L234" s="8"/>
      <c r="M234" s="91"/>
      <c r="N234" s="8"/>
      <c r="O234" s="124"/>
    </row>
    <row r="235" spans="6:15" s="7" customFormat="1" ht="12.75">
      <c r="F235" s="71"/>
      <c r="G235" s="72"/>
      <c r="H235" s="72"/>
      <c r="I235" s="94"/>
      <c r="J235" s="96"/>
      <c r="K235" s="91"/>
      <c r="L235" s="8"/>
      <c r="M235" s="91"/>
      <c r="N235" s="8"/>
      <c r="O235" s="124"/>
    </row>
    <row r="236" spans="6:15" s="7" customFormat="1" ht="12.75">
      <c r="F236" s="71"/>
      <c r="H236" s="256"/>
      <c r="I236" s="94"/>
      <c r="J236" s="94"/>
      <c r="K236" s="91"/>
      <c r="L236" s="8"/>
      <c r="M236" s="91"/>
      <c r="N236" s="8"/>
      <c r="O236" s="124"/>
    </row>
    <row r="237" spans="6:15" s="7" customFormat="1" ht="12.75">
      <c r="F237" s="71"/>
      <c r="H237" s="256"/>
      <c r="I237" s="94"/>
      <c r="J237" s="94"/>
      <c r="K237" s="91"/>
      <c r="L237" s="8"/>
      <c r="M237" s="91"/>
      <c r="N237" s="8"/>
      <c r="O237" s="124"/>
    </row>
    <row r="238" spans="6:15" s="7" customFormat="1" ht="12.75">
      <c r="F238" s="71"/>
      <c r="G238" s="72"/>
      <c r="H238" s="72"/>
      <c r="I238" s="94"/>
      <c r="J238" s="96"/>
      <c r="K238" s="91"/>
      <c r="L238" s="8"/>
      <c r="M238" s="91"/>
      <c r="N238" s="91"/>
      <c r="O238" s="124"/>
    </row>
    <row r="239" spans="6:15" s="7" customFormat="1" ht="12.75">
      <c r="F239" s="71"/>
      <c r="G239" s="72"/>
      <c r="H239" s="72"/>
      <c r="I239" s="96"/>
      <c r="J239" s="96"/>
      <c r="K239" s="91"/>
      <c r="L239" s="91"/>
      <c r="M239" s="71"/>
      <c r="O239" s="124"/>
    </row>
    <row r="240" spans="6:15" s="7" customFormat="1" ht="12.75">
      <c r="F240" s="71"/>
      <c r="G240" s="71"/>
      <c r="H240" s="71"/>
      <c r="I240" s="71"/>
      <c r="J240" s="71"/>
      <c r="K240" s="71"/>
      <c r="L240" s="71"/>
      <c r="M240" s="71"/>
      <c r="O240" s="124"/>
    </row>
    <row r="241" spans="6:13" ht="12.75">
      <c r="F241" s="85"/>
      <c r="G241" s="85"/>
      <c r="H241" s="85"/>
      <c r="I241" s="85"/>
      <c r="J241" s="85"/>
      <c r="K241" s="85"/>
      <c r="L241" s="85"/>
      <c r="M241" s="85"/>
    </row>
    <row r="242" spans="6:13" ht="12.75">
      <c r="F242" s="85"/>
      <c r="G242" s="85"/>
      <c r="H242" s="85"/>
      <c r="I242" s="85"/>
      <c r="J242" s="85"/>
      <c r="K242" s="85"/>
      <c r="L242" s="85"/>
      <c r="M242" s="85"/>
    </row>
    <row r="243" spans="6:13" ht="12.75">
      <c r="F243" s="85"/>
      <c r="G243" s="85"/>
      <c r="H243" s="85"/>
      <c r="I243" s="85"/>
      <c r="J243" s="85"/>
      <c r="K243" s="85"/>
      <c r="L243" s="85"/>
      <c r="M243" s="85"/>
    </row>
    <row r="244" spans="6:13" ht="12.75">
      <c r="F244" s="85"/>
      <c r="G244" s="85"/>
      <c r="H244" s="85"/>
      <c r="I244" s="85"/>
      <c r="J244" s="85"/>
      <c r="K244" s="85"/>
      <c r="L244" s="85"/>
      <c r="M244" s="85"/>
    </row>
    <row r="245" spans="6:13" ht="12.75">
      <c r="F245" s="85"/>
      <c r="G245" s="85"/>
      <c r="H245" s="85"/>
      <c r="I245" s="85"/>
      <c r="J245" s="85"/>
      <c r="K245" s="85"/>
      <c r="L245" s="85"/>
      <c r="M245" s="85"/>
    </row>
    <row r="246" spans="6:13" ht="12.75">
      <c r="F246" s="85"/>
      <c r="G246" s="85"/>
      <c r="H246" s="85"/>
      <c r="I246" s="85"/>
      <c r="J246" s="85"/>
      <c r="K246" s="85"/>
      <c r="L246" s="85"/>
      <c r="M246" s="85"/>
    </row>
    <row r="247" spans="6:13" ht="12.75">
      <c r="F247" s="85"/>
      <c r="G247" s="85"/>
      <c r="H247" s="85"/>
      <c r="I247" s="85"/>
      <c r="J247" s="85"/>
      <c r="K247" s="85"/>
      <c r="L247" s="85"/>
      <c r="M247" s="85"/>
    </row>
    <row r="248" spans="6:13" ht="12.75">
      <c r="F248" s="85"/>
      <c r="G248" s="85"/>
      <c r="H248" s="85"/>
      <c r="I248" s="85"/>
      <c r="J248" s="85"/>
      <c r="K248" s="85"/>
      <c r="L248" s="85"/>
      <c r="M248" s="85"/>
    </row>
    <row r="249" spans="6:13" ht="12.75">
      <c r="F249" s="85"/>
      <c r="G249" s="85"/>
      <c r="H249" s="85"/>
      <c r="I249" s="85"/>
      <c r="J249" s="85"/>
      <c r="K249" s="85"/>
      <c r="L249" s="85"/>
      <c r="M249" s="85"/>
    </row>
    <row r="250" spans="6:13" ht="12.75">
      <c r="F250" s="85"/>
      <c r="G250" s="85"/>
      <c r="H250" s="85"/>
      <c r="I250" s="85"/>
      <c r="J250" s="85"/>
      <c r="K250" s="85"/>
      <c r="L250" s="85"/>
      <c r="M250" s="85"/>
    </row>
    <row r="251" spans="6:13" ht="12.75">
      <c r="F251" s="85"/>
      <c r="G251" s="85"/>
      <c r="H251" s="85"/>
      <c r="I251" s="85"/>
      <c r="J251" s="85"/>
      <c r="K251" s="85"/>
      <c r="L251" s="85"/>
      <c r="M251" s="85"/>
    </row>
    <row r="252" spans="6:13" ht="12.75">
      <c r="F252" s="85"/>
      <c r="G252" s="85"/>
      <c r="H252" s="85"/>
      <c r="I252" s="85"/>
      <c r="J252" s="85"/>
      <c r="K252" s="85"/>
      <c r="L252" s="85"/>
      <c r="M252" s="85"/>
    </row>
    <row r="253" spans="6:13" ht="12.75">
      <c r="F253" s="85"/>
      <c r="G253" s="85"/>
      <c r="H253" s="85"/>
      <c r="I253" s="85"/>
      <c r="J253" s="85"/>
      <c r="K253" s="85"/>
      <c r="L253" s="85"/>
      <c r="M253" s="85"/>
    </row>
    <row r="254" spans="6:13" ht="12.75">
      <c r="F254" s="85"/>
      <c r="G254" s="85"/>
      <c r="H254" s="85"/>
      <c r="I254" s="85"/>
      <c r="J254" s="85"/>
      <c r="K254" s="85"/>
      <c r="L254" s="85"/>
      <c r="M254" s="85"/>
    </row>
    <row r="255" spans="6:13" ht="12.75">
      <c r="F255" s="85"/>
      <c r="G255" s="85"/>
      <c r="H255" s="85"/>
      <c r="I255" s="85"/>
      <c r="J255" s="85"/>
      <c r="K255" s="85"/>
      <c r="L255" s="85"/>
      <c r="M255" s="85"/>
    </row>
    <row r="256" spans="6:13" ht="12.75">
      <c r="F256" s="85"/>
      <c r="G256" s="85"/>
      <c r="H256" s="85"/>
      <c r="I256" s="85"/>
      <c r="J256" s="85"/>
      <c r="K256" s="85"/>
      <c r="L256" s="85"/>
      <c r="M256" s="85"/>
    </row>
    <row r="257" spans="6:13" ht="12.75">
      <c r="F257" s="85"/>
      <c r="G257" s="85"/>
      <c r="H257" s="85"/>
      <c r="I257" s="85"/>
      <c r="J257" s="85"/>
      <c r="K257" s="85"/>
      <c r="L257" s="85"/>
      <c r="M257" s="85"/>
    </row>
    <row r="258" spans="6:13" ht="12.75">
      <c r="F258" s="85"/>
      <c r="G258" s="85"/>
      <c r="H258" s="85"/>
      <c r="I258" s="85"/>
      <c r="J258" s="85"/>
      <c r="K258" s="85"/>
      <c r="L258" s="85"/>
      <c r="M258" s="85"/>
    </row>
    <row r="259" spans="6:13" ht="12.75">
      <c r="F259" s="85"/>
      <c r="G259" s="85"/>
      <c r="H259" s="85"/>
      <c r="I259" s="85"/>
      <c r="J259" s="85"/>
      <c r="K259" s="85"/>
      <c r="L259" s="85"/>
      <c r="M259" s="85"/>
    </row>
    <row r="260" spans="6:13" ht="12.75">
      <c r="F260" s="85"/>
      <c r="G260" s="85"/>
      <c r="H260" s="85"/>
      <c r="I260" s="85"/>
      <c r="J260" s="85"/>
      <c r="K260" s="85"/>
      <c r="L260" s="85"/>
      <c r="M260" s="85"/>
    </row>
    <row r="261" spans="6:13" ht="12.75">
      <c r="F261" s="85"/>
      <c r="G261" s="85"/>
      <c r="H261" s="85"/>
      <c r="I261" s="85"/>
      <c r="J261" s="85"/>
      <c r="K261" s="85"/>
      <c r="L261" s="85"/>
      <c r="M261" s="85"/>
    </row>
    <row r="262" spans="6:13" ht="12.75">
      <c r="F262" s="85"/>
      <c r="G262" s="85"/>
      <c r="H262" s="85"/>
      <c r="I262" s="85"/>
      <c r="J262" s="85"/>
      <c r="K262" s="85"/>
      <c r="L262" s="85"/>
      <c r="M262" s="85"/>
    </row>
    <row r="263" spans="6:13" ht="12.75">
      <c r="F263" s="85"/>
      <c r="G263" s="85"/>
      <c r="H263" s="85"/>
      <c r="I263" s="85"/>
      <c r="J263" s="85"/>
      <c r="K263" s="85"/>
      <c r="L263" s="85"/>
      <c r="M263" s="85"/>
    </row>
    <row r="264" spans="6:13" ht="12.75">
      <c r="F264" s="85"/>
      <c r="G264" s="85"/>
      <c r="H264" s="85"/>
      <c r="I264" s="85"/>
      <c r="J264" s="85"/>
      <c r="K264" s="85"/>
      <c r="L264" s="85"/>
      <c r="M264" s="85"/>
    </row>
    <row r="265" spans="6:13" ht="12.75">
      <c r="F265" s="85"/>
      <c r="G265" s="85"/>
      <c r="H265" s="85"/>
      <c r="I265" s="85"/>
      <c r="J265" s="85"/>
      <c r="K265" s="85"/>
      <c r="L265" s="85"/>
      <c r="M265" s="85"/>
    </row>
    <row r="266" spans="6:13" ht="12.75">
      <c r="F266" s="85"/>
      <c r="G266" s="85"/>
      <c r="H266" s="85"/>
      <c r="I266" s="85"/>
      <c r="J266" s="85"/>
      <c r="K266" s="85"/>
      <c r="L266" s="85"/>
      <c r="M266" s="85"/>
    </row>
    <row r="267" spans="6:13" ht="12.75">
      <c r="F267" s="85"/>
      <c r="G267" s="85"/>
      <c r="H267" s="85"/>
      <c r="I267" s="85"/>
      <c r="J267" s="85"/>
      <c r="K267" s="85"/>
      <c r="L267" s="85"/>
      <c r="M267" s="85"/>
    </row>
    <row r="268" spans="6:13" ht="12.75">
      <c r="F268" s="85"/>
      <c r="G268" s="85"/>
      <c r="H268" s="85"/>
      <c r="I268" s="85"/>
      <c r="J268" s="85"/>
      <c r="K268" s="85"/>
      <c r="L268" s="85"/>
      <c r="M268" s="85"/>
    </row>
    <row r="269" spans="6:13" ht="12.75">
      <c r="F269" s="85"/>
      <c r="G269" s="85"/>
      <c r="H269" s="85"/>
      <c r="I269" s="85"/>
      <c r="J269" s="85"/>
      <c r="K269" s="85"/>
      <c r="L269" s="85"/>
      <c r="M269" s="85"/>
    </row>
    <row r="270" spans="6:13" ht="12.75">
      <c r="F270" s="85"/>
      <c r="G270" s="85"/>
      <c r="H270" s="85"/>
      <c r="I270" s="85"/>
      <c r="J270" s="85"/>
      <c r="K270" s="85"/>
      <c r="L270" s="85"/>
      <c r="M270" s="85"/>
    </row>
    <row r="271" spans="6:13" ht="12.75">
      <c r="F271" s="85"/>
      <c r="G271" s="85"/>
      <c r="H271" s="85"/>
      <c r="I271" s="85"/>
      <c r="J271" s="85"/>
      <c r="K271" s="85"/>
      <c r="L271" s="85"/>
      <c r="M271" s="85"/>
    </row>
    <row r="272" spans="6:13" ht="12.75">
      <c r="F272" s="85"/>
      <c r="G272" s="85"/>
      <c r="H272" s="85"/>
      <c r="I272" s="85"/>
      <c r="J272" s="85"/>
      <c r="K272" s="85"/>
      <c r="L272" s="85"/>
      <c r="M272" s="85"/>
    </row>
    <row r="273" spans="6:13" ht="12.75">
      <c r="F273" s="85"/>
      <c r="G273" s="85"/>
      <c r="H273" s="85"/>
      <c r="I273" s="85"/>
      <c r="J273" s="85"/>
      <c r="K273" s="85"/>
      <c r="L273" s="85"/>
      <c r="M273" s="85"/>
    </row>
    <row r="274" spans="6:13" ht="12.75">
      <c r="F274" s="85"/>
      <c r="G274" s="85"/>
      <c r="H274" s="85"/>
      <c r="I274" s="85"/>
      <c r="J274" s="85"/>
      <c r="K274" s="85"/>
      <c r="L274" s="85"/>
      <c r="M274" s="85"/>
    </row>
    <row r="275" spans="6:13" ht="12.75">
      <c r="F275" s="85"/>
      <c r="G275" s="85"/>
      <c r="H275" s="85"/>
      <c r="I275" s="85"/>
      <c r="J275" s="85"/>
      <c r="K275" s="85"/>
      <c r="L275" s="85"/>
      <c r="M275" s="85"/>
    </row>
    <row r="276" spans="6:13" ht="12.75">
      <c r="F276" s="85"/>
      <c r="G276" s="85"/>
      <c r="H276" s="85"/>
      <c r="I276" s="85"/>
      <c r="J276" s="85"/>
      <c r="K276" s="85"/>
      <c r="L276" s="85"/>
      <c r="M276" s="85"/>
    </row>
    <row r="277" spans="6:13" ht="12.75">
      <c r="F277" s="85"/>
      <c r="G277" s="85"/>
      <c r="H277" s="85"/>
      <c r="I277" s="85"/>
      <c r="J277" s="85"/>
      <c r="K277" s="85"/>
      <c r="L277" s="85"/>
      <c r="M277" s="85"/>
    </row>
    <row r="278" spans="6:13" ht="12.75">
      <c r="F278" s="85"/>
      <c r="G278" s="85"/>
      <c r="H278" s="85"/>
      <c r="I278" s="85"/>
      <c r="J278" s="85"/>
      <c r="K278" s="85"/>
      <c r="L278" s="85"/>
      <c r="M278" s="85"/>
    </row>
    <row r="279" spans="6:13" ht="12.75">
      <c r="F279" s="85"/>
      <c r="G279" s="85"/>
      <c r="H279" s="85"/>
      <c r="I279" s="85"/>
      <c r="J279" s="85"/>
      <c r="K279" s="85"/>
      <c r="L279" s="85"/>
      <c r="M279" s="85"/>
    </row>
    <row r="280" spans="6:13" ht="12.75">
      <c r="F280" s="85"/>
      <c r="G280" s="85"/>
      <c r="H280" s="85"/>
      <c r="I280" s="85"/>
      <c r="J280" s="85"/>
      <c r="K280" s="85"/>
      <c r="L280" s="85"/>
      <c r="M280" s="85"/>
    </row>
    <row r="281" spans="6:13" ht="12.75">
      <c r="F281" s="85"/>
      <c r="G281" s="85"/>
      <c r="H281" s="85"/>
      <c r="I281" s="85"/>
      <c r="J281" s="85"/>
      <c r="K281" s="85"/>
      <c r="L281" s="85"/>
      <c r="M281" s="85"/>
    </row>
    <row r="282" spans="6:13" ht="12.75">
      <c r="F282" s="85"/>
      <c r="G282" s="85"/>
      <c r="H282" s="85"/>
      <c r="I282" s="85"/>
      <c r="J282" s="85"/>
      <c r="K282" s="85"/>
      <c r="L282" s="85"/>
      <c r="M282" s="85"/>
    </row>
    <row r="283" spans="6:13" ht="12.75">
      <c r="F283" s="85"/>
      <c r="G283" s="85"/>
      <c r="H283" s="85"/>
      <c r="I283" s="85"/>
      <c r="J283" s="85"/>
      <c r="K283" s="85"/>
      <c r="L283" s="85"/>
      <c r="M283" s="85"/>
    </row>
    <row r="284" spans="6:13" ht="12.75">
      <c r="F284" s="85"/>
      <c r="G284" s="85"/>
      <c r="H284" s="85"/>
      <c r="I284" s="85"/>
      <c r="J284" s="85"/>
      <c r="K284" s="85"/>
      <c r="L284" s="85"/>
      <c r="M284" s="85"/>
    </row>
    <row r="285" spans="6:13" ht="12.75">
      <c r="F285" s="85"/>
      <c r="G285" s="85"/>
      <c r="H285" s="85"/>
      <c r="I285" s="85"/>
      <c r="J285" s="85"/>
      <c r="K285" s="85"/>
      <c r="L285" s="85"/>
      <c r="M285" s="85"/>
    </row>
    <row r="286" spans="6:13" ht="12.75">
      <c r="F286" s="85"/>
      <c r="G286" s="85"/>
      <c r="H286" s="85"/>
      <c r="I286" s="85"/>
      <c r="J286" s="85"/>
      <c r="K286" s="85"/>
      <c r="L286" s="85"/>
      <c r="M286" s="85"/>
    </row>
    <row r="287" spans="6:13" ht="12.75">
      <c r="F287" s="85"/>
      <c r="G287" s="85"/>
      <c r="H287" s="85"/>
      <c r="I287" s="85"/>
      <c r="J287" s="85"/>
      <c r="K287" s="85"/>
      <c r="L287" s="85"/>
      <c r="M287" s="85"/>
    </row>
    <row r="288" spans="6:13" ht="12.75">
      <c r="F288" s="85"/>
      <c r="G288" s="85"/>
      <c r="H288" s="85"/>
      <c r="I288" s="85"/>
      <c r="J288" s="85"/>
      <c r="K288" s="85"/>
      <c r="L288" s="85"/>
      <c r="M288" s="85"/>
    </row>
    <row r="289" spans="6:13" ht="12.75">
      <c r="F289" s="85"/>
      <c r="G289" s="85"/>
      <c r="H289" s="85"/>
      <c r="I289" s="85"/>
      <c r="J289" s="85"/>
      <c r="K289" s="85"/>
      <c r="L289" s="85"/>
      <c r="M289" s="85"/>
    </row>
    <row r="290" spans="6:13" ht="12.75">
      <c r="F290" s="85"/>
      <c r="G290" s="85"/>
      <c r="H290" s="85"/>
      <c r="I290" s="85"/>
      <c r="J290" s="85"/>
      <c r="K290" s="85"/>
      <c r="L290" s="85"/>
      <c r="M290" s="85"/>
    </row>
    <row r="291" spans="6:13" ht="12.75">
      <c r="F291" s="85"/>
      <c r="G291" s="85"/>
      <c r="H291" s="85"/>
      <c r="I291" s="85"/>
      <c r="J291" s="85"/>
      <c r="K291" s="85"/>
      <c r="L291" s="85"/>
      <c r="M291" s="85"/>
    </row>
    <row r="292" spans="6:13" ht="12.75">
      <c r="F292" s="85"/>
      <c r="G292" s="85"/>
      <c r="H292" s="85"/>
      <c r="I292" s="85"/>
      <c r="J292" s="85"/>
      <c r="K292" s="85"/>
      <c r="L292" s="85"/>
      <c r="M292" s="85"/>
    </row>
    <row r="293" spans="6:13" ht="12.75">
      <c r="F293" s="85"/>
      <c r="G293" s="85"/>
      <c r="H293" s="85"/>
      <c r="I293" s="85"/>
      <c r="J293" s="85"/>
      <c r="K293" s="85"/>
      <c r="L293" s="85"/>
      <c r="M293" s="85"/>
    </row>
    <row r="294" spans="6:13" ht="12.75">
      <c r="F294" s="85"/>
      <c r="G294" s="85"/>
      <c r="H294" s="85"/>
      <c r="I294" s="85"/>
      <c r="J294" s="85"/>
      <c r="K294" s="85"/>
      <c r="L294" s="85"/>
      <c r="M294" s="85"/>
    </row>
    <row r="295" spans="6:13" ht="12.75">
      <c r="F295" s="85"/>
      <c r="G295" s="85"/>
      <c r="H295" s="85"/>
      <c r="I295" s="85"/>
      <c r="J295" s="85"/>
      <c r="K295" s="85"/>
      <c r="L295" s="85"/>
      <c r="M295" s="85"/>
    </row>
    <row r="296" spans="6:13" ht="12.75">
      <c r="F296" s="85"/>
      <c r="G296" s="85"/>
      <c r="H296" s="85"/>
      <c r="I296" s="85"/>
      <c r="J296" s="85"/>
      <c r="K296" s="85"/>
      <c r="L296" s="85"/>
      <c r="M296" s="85"/>
    </row>
    <row r="297" spans="6:13" ht="12.75">
      <c r="F297" s="85"/>
      <c r="G297" s="85"/>
      <c r="H297" s="85"/>
      <c r="I297" s="85"/>
      <c r="J297" s="85"/>
      <c r="K297" s="85"/>
      <c r="L297" s="85"/>
      <c r="M297" s="85"/>
    </row>
    <row r="298" spans="6:13" ht="12.75">
      <c r="F298" s="85"/>
      <c r="G298" s="85"/>
      <c r="H298" s="85"/>
      <c r="I298" s="85"/>
      <c r="J298" s="85"/>
      <c r="K298" s="85"/>
      <c r="L298" s="85"/>
      <c r="M298" s="85"/>
    </row>
    <row r="299" spans="6:13" ht="12.75">
      <c r="F299" s="85"/>
      <c r="G299" s="85"/>
      <c r="H299" s="85"/>
      <c r="I299" s="85"/>
      <c r="J299" s="85"/>
      <c r="K299" s="85"/>
      <c r="L299" s="85"/>
      <c r="M299" s="85"/>
    </row>
    <row r="300" spans="6:13" ht="12.75">
      <c r="F300" s="85"/>
      <c r="G300" s="85"/>
      <c r="H300" s="85"/>
      <c r="I300" s="85"/>
      <c r="J300" s="85"/>
      <c r="K300" s="85"/>
      <c r="L300" s="85"/>
      <c r="M300" s="85"/>
    </row>
    <row r="301" spans="6:13" ht="12.75">
      <c r="F301" s="85"/>
      <c r="G301" s="85"/>
      <c r="H301" s="85"/>
      <c r="I301" s="85"/>
      <c r="J301" s="85"/>
      <c r="K301" s="85"/>
      <c r="L301" s="85"/>
      <c r="M301" s="85"/>
    </row>
    <row r="302" spans="6:13" ht="12.75">
      <c r="F302" s="85"/>
      <c r="G302" s="85"/>
      <c r="H302" s="85"/>
      <c r="I302" s="85"/>
      <c r="J302" s="85"/>
      <c r="K302" s="85"/>
      <c r="L302" s="85"/>
      <c r="M302" s="85"/>
    </row>
    <row r="303" spans="6:13" ht="12.75">
      <c r="F303" s="85"/>
      <c r="G303" s="85"/>
      <c r="H303" s="85"/>
      <c r="I303" s="85"/>
      <c r="J303" s="85"/>
      <c r="K303" s="85"/>
      <c r="L303" s="85"/>
      <c r="M303" s="85"/>
    </row>
    <row r="304" spans="6:13" ht="12.75">
      <c r="F304" s="85"/>
      <c r="G304" s="85"/>
      <c r="H304" s="85"/>
      <c r="I304" s="85"/>
      <c r="J304" s="85"/>
      <c r="K304" s="85"/>
      <c r="L304" s="85"/>
      <c r="M304" s="85"/>
    </row>
    <row r="305" spans="6:13" ht="12.75">
      <c r="F305" s="85"/>
      <c r="G305" s="85"/>
      <c r="H305" s="85"/>
      <c r="I305" s="85"/>
      <c r="J305" s="85"/>
      <c r="K305" s="85"/>
      <c r="L305" s="85"/>
      <c r="M305" s="85"/>
    </row>
    <row r="306" spans="6:13" ht="12.75">
      <c r="F306" s="85"/>
      <c r="G306" s="85"/>
      <c r="H306" s="85"/>
      <c r="I306" s="85"/>
      <c r="J306" s="85"/>
      <c r="K306" s="85"/>
      <c r="L306" s="85"/>
      <c r="M306" s="85"/>
    </row>
    <row r="307" spans="6:13" ht="12.75">
      <c r="F307" s="85"/>
      <c r="G307" s="85"/>
      <c r="H307" s="85"/>
      <c r="I307" s="85"/>
      <c r="J307" s="85"/>
      <c r="K307" s="85"/>
      <c r="L307" s="85"/>
      <c r="M307" s="85"/>
    </row>
    <row r="308" spans="6:13" ht="12.75">
      <c r="F308" s="85"/>
      <c r="G308" s="85"/>
      <c r="H308" s="85"/>
      <c r="I308" s="85"/>
      <c r="J308" s="85"/>
      <c r="K308" s="85"/>
      <c r="L308" s="85"/>
      <c r="M308" s="85"/>
    </row>
    <row r="309" spans="6:13" ht="12.75">
      <c r="F309" s="85"/>
      <c r="G309" s="85"/>
      <c r="H309" s="85"/>
      <c r="I309" s="85"/>
      <c r="J309" s="85"/>
      <c r="K309" s="85"/>
      <c r="L309" s="85"/>
      <c r="M309" s="85"/>
    </row>
    <row r="310" spans="6:13" ht="12.75">
      <c r="F310" s="85"/>
      <c r="G310" s="85"/>
      <c r="H310" s="85"/>
      <c r="I310" s="85"/>
      <c r="J310" s="85"/>
      <c r="K310" s="85"/>
      <c r="L310" s="85"/>
      <c r="M310" s="85"/>
    </row>
    <row r="311" spans="6:13" ht="12.75">
      <c r="F311" s="85"/>
      <c r="G311" s="85"/>
      <c r="H311" s="85"/>
      <c r="I311" s="85"/>
      <c r="J311" s="85"/>
      <c r="K311" s="85"/>
      <c r="L311" s="85"/>
      <c r="M311" s="85"/>
    </row>
    <row r="312" spans="6:13" ht="12.75">
      <c r="F312" s="85"/>
      <c r="G312" s="85"/>
      <c r="H312" s="85"/>
      <c r="I312" s="85"/>
      <c r="J312" s="85"/>
      <c r="K312" s="85"/>
      <c r="L312" s="85"/>
      <c r="M312" s="85"/>
    </row>
    <row r="313" spans="6:13" ht="12.75">
      <c r="F313" s="85"/>
      <c r="G313" s="85"/>
      <c r="H313" s="85"/>
      <c r="I313" s="85"/>
      <c r="J313" s="85"/>
      <c r="K313" s="85"/>
      <c r="L313" s="85"/>
      <c r="M313" s="85"/>
    </row>
    <row r="314" spans="6:13" ht="12.75">
      <c r="F314" s="85"/>
      <c r="G314" s="85"/>
      <c r="H314" s="85"/>
      <c r="I314" s="85"/>
      <c r="J314" s="85"/>
      <c r="K314" s="85"/>
      <c r="L314" s="85"/>
      <c r="M314" s="85"/>
    </row>
    <row r="315" spans="6:13" ht="12.75">
      <c r="F315" s="85"/>
      <c r="G315" s="85"/>
      <c r="H315" s="85"/>
      <c r="I315" s="85"/>
      <c r="J315" s="85"/>
      <c r="K315" s="85"/>
      <c r="L315" s="85"/>
      <c r="M315" s="85"/>
    </row>
    <row r="316" spans="6:13" ht="12.75">
      <c r="F316" s="85"/>
      <c r="G316" s="85"/>
      <c r="H316" s="85"/>
      <c r="I316" s="85"/>
      <c r="J316" s="85"/>
      <c r="K316" s="85"/>
      <c r="L316" s="85"/>
      <c r="M316" s="85"/>
    </row>
    <row r="317" spans="6:13" ht="12.75">
      <c r="F317" s="85"/>
      <c r="G317" s="85"/>
      <c r="H317" s="85"/>
      <c r="I317" s="85"/>
      <c r="J317" s="85"/>
      <c r="K317" s="85"/>
      <c r="L317" s="85"/>
      <c r="M317" s="85"/>
    </row>
    <row r="318" spans="6:13" ht="12.75">
      <c r="F318" s="85"/>
      <c r="G318" s="85"/>
      <c r="H318" s="85"/>
      <c r="I318" s="85"/>
      <c r="J318" s="85"/>
      <c r="K318" s="85"/>
      <c r="L318" s="85"/>
      <c r="M318" s="85"/>
    </row>
    <row r="319" spans="6:13" ht="12.75">
      <c r="F319" s="85"/>
      <c r="G319" s="85"/>
      <c r="H319" s="85"/>
      <c r="I319" s="85"/>
      <c r="J319" s="85"/>
      <c r="K319" s="85"/>
      <c r="L319" s="85"/>
      <c r="M319" s="85"/>
    </row>
    <row r="320" spans="6:13" ht="12.75">
      <c r="F320" s="85"/>
      <c r="G320" s="85"/>
      <c r="H320" s="85"/>
      <c r="I320" s="85"/>
      <c r="J320" s="85"/>
      <c r="K320" s="85"/>
      <c r="L320" s="85"/>
      <c r="M320" s="85"/>
    </row>
    <row r="321" spans="6:13" ht="12.75">
      <c r="F321" s="85"/>
      <c r="G321" s="85"/>
      <c r="H321" s="85"/>
      <c r="I321" s="85"/>
      <c r="J321" s="85"/>
      <c r="K321" s="85"/>
      <c r="L321" s="85"/>
      <c r="M321" s="85"/>
    </row>
    <row r="322" spans="6:13" ht="12.75">
      <c r="F322" s="85"/>
      <c r="G322" s="85"/>
      <c r="H322" s="85"/>
      <c r="I322" s="85"/>
      <c r="J322" s="85"/>
      <c r="K322" s="85"/>
      <c r="L322" s="85"/>
      <c r="M322" s="85"/>
    </row>
    <row r="323" spans="6:13" ht="12.75">
      <c r="F323" s="85"/>
      <c r="G323" s="85"/>
      <c r="H323" s="85"/>
      <c r="I323" s="85"/>
      <c r="J323" s="85"/>
      <c r="K323" s="85"/>
      <c r="L323" s="85"/>
      <c r="M323" s="85"/>
    </row>
    <row r="324" spans="6:13" ht="12.75">
      <c r="F324" s="85"/>
      <c r="G324" s="85"/>
      <c r="H324" s="85"/>
      <c r="I324" s="85"/>
      <c r="J324" s="85"/>
      <c r="K324" s="85"/>
      <c r="L324" s="85"/>
      <c r="M324" s="85"/>
    </row>
    <row r="325" spans="6:13" ht="12.75">
      <c r="F325" s="85"/>
      <c r="G325" s="85"/>
      <c r="H325" s="85"/>
      <c r="I325" s="85"/>
      <c r="J325" s="85"/>
      <c r="K325" s="85"/>
      <c r="L325" s="85"/>
      <c r="M325" s="85"/>
    </row>
    <row r="326" spans="6:13" ht="12.75">
      <c r="F326" s="85"/>
      <c r="G326" s="85"/>
      <c r="H326" s="85"/>
      <c r="I326" s="85"/>
      <c r="J326" s="85"/>
      <c r="K326" s="85"/>
      <c r="L326" s="85"/>
      <c r="M326" s="85"/>
    </row>
    <row r="327" spans="6:13" ht="12.75">
      <c r="F327" s="85"/>
      <c r="G327" s="85"/>
      <c r="H327" s="85"/>
      <c r="I327" s="85"/>
      <c r="J327" s="85"/>
      <c r="K327" s="85"/>
      <c r="L327" s="85"/>
      <c r="M327" s="85"/>
    </row>
    <row r="328" spans="6:13" ht="12.75">
      <c r="F328" s="85"/>
      <c r="G328" s="85"/>
      <c r="H328" s="85"/>
      <c r="I328" s="85"/>
      <c r="J328" s="85"/>
      <c r="K328" s="85"/>
      <c r="L328" s="85"/>
      <c r="M328" s="85"/>
    </row>
    <row r="329" spans="6:13" ht="12.75">
      <c r="F329" s="85"/>
      <c r="G329" s="85"/>
      <c r="H329" s="85"/>
      <c r="I329" s="85"/>
      <c r="J329" s="85"/>
      <c r="K329" s="85"/>
      <c r="L329" s="85"/>
      <c r="M329" s="85"/>
    </row>
    <row r="330" spans="6:13" ht="12.75">
      <c r="F330" s="85"/>
      <c r="G330" s="85"/>
      <c r="H330" s="85"/>
      <c r="I330" s="85"/>
      <c r="J330" s="85"/>
      <c r="K330" s="85"/>
      <c r="L330" s="85"/>
      <c r="M330" s="85"/>
    </row>
    <row r="331" spans="6:13" ht="12.75">
      <c r="F331" s="85"/>
      <c r="G331" s="85"/>
      <c r="H331" s="85"/>
      <c r="I331" s="85"/>
      <c r="J331" s="85"/>
      <c r="K331" s="85"/>
      <c r="L331" s="85"/>
      <c r="M331" s="85"/>
    </row>
    <row r="332" spans="6:13" ht="12.75">
      <c r="F332" s="85"/>
      <c r="G332" s="85"/>
      <c r="H332" s="85"/>
      <c r="I332" s="85"/>
      <c r="J332" s="85"/>
      <c r="K332" s="85"/>
      <c r="L332" s="85"/>
      <c r="M332" s="85"/>
    </row>
    <row r="333" spans="6:13" ht="12.75">
      <c r="F333" s="85"/>
      <c r="G333" s="85"/>
      <c r="H333" s="85"/>
      <c r="I333" s="85"/>
      <c r="J333" s="85"/>
      <c r="K333" s="85"/>
      <c r="L333" s="85"/>
      <c r="M333" s="85"/>
    </row>
    <row r="334" spans="6:13" ht="12.75">
      <c r="F334" s="85"/>
      <c r="G334" s="85"/>
      <c r="H334" s="85"/>
      <c r="I334" s="85"/>
      <c r="J334" s="85"/>
      <c r="K334" s="85"/>
      <c r="L334" s="85"/>
      <c r="M334" s="85"/>
    </row>
    <row r="335" spans="6:13" ht="12.75">
      <c r="F335" s="85"/>
      <c r="G335" s="85"/>
      <c r="H335" s="85"/>
      <c r="I335" s="85"/>
      <c r="J335" s="85"/>
      <c r="K335" s="85"/>
      <c r="L335" s="85"/>
      <c r="M335" s="85"/>
    </row>
    <row r="336" spans="6:13" ht="12.75">
      <c r="F336" s="85"/>
      <c r="G336" s="85"/>
      <c r="H336" s="85"/>
      <c r="I336" s="85"/>
      <c r="J336" s="85"/>
      <c r="K336" s="85"/>
      <c r="L336" s="85"/>
      <c r="M336" s="85"/>
    </row>
    <row r="337" spans="6:13" ht="12.75">
      <c r="F337" s="85"/>
      <c r="G337" s="85"/>
      <c r="H337" s="85"/>
      <c r="I337" s="85"/>
      <c r="J337" s="85"/>
      <c r="K337" s="85"/>
      <c r="L337" s="85"/>
      <c r="M337" s="85"/>
    </row>
    <row r="338" spans="6:13" ht="12.75">
      <c r="F338" s="85"/>
      <c r="G338" s="85"/>
      <c r="H338" s="85"/>
      <c r="I338" s="85"/>
      <c r="J338" s="85"/>
      <c r="K338" s="85"/>
      <c r="L338" s="85"/>
      <c r="M338" s="85"/>
    </row>
    <row r="339" spans="6:13" ht="12.75">
      <c r="F339" s="85"/>
      <c r="G339" s="85"/>
      <c r="H339" s="85"/>
      <c r="I339" s="85"/>
      <c r="J339" s="85"/>
      <c r="K339" s="85"/>
      <c r="L339" s="85"/>
      <c r="M339" s="85"/>
    </row>
    <row r="340" spans="6:13" ht="12.75">
      <c r="F340" s="85"/>
      <c r="G340" s="85"/>
      <c r="H340" s="85"/>
      <c r="I340" s="85"/>
      <c r="J340" s="85"/>
      <c r="K340" s="85"/>
      <c r="L340" s="85"/>
      <c r="M340" s="85"/>
    </row>
    <row r="341" spans="6:13" ht="12.75">
      <c r="F341" s="85"/>
      <c r="G341" s="85"/>
      <c r="H341" s="85"/>
      <c r="I341" s="85"/>
      <c r="J341" s="85"/>
      <c r="K341" s="85"/>
      <c r="L341" s="85"/>
      <c r="M341" s="85"/>
    </row>
    <row r="342" spans="6:13" ht="12.75">
      <c r="F342" s="85"/>
      <c r="G342" s="85"/>
      <c r="H342" s="85"/>
      <c r="I342" s="85"/>
      <c r="J342" s="85"/>
      <c r="K342" s="85"/>
      <c r="L342" s="85"/>
      <c r="M342" s="85"/>
    </row>
    <row r="343" spans="6:13" ht="12.75">
      <c r="F343" s="85"/>
      <c r="G343" s="85"/>
      <c r="H343" s="85"/>
      <c r="I343" s="85"/>
      <c r="J343" s="85"/>
      <c r="K343" s="85"/>
      <c r="L343" s="85"/>
      <c r="M343" s="85"/>
    </row>
    <row r="344" spans="6:13" ht="12.75">
      <c r="F344" s="85"/>
      <c r="G344" s="85"/>
      <c r="H344" s="85"/>
      <c r="I344" s="85"/>
      <c r="J344" s="85"/>
      <c r="K344" s="85"/>
      <c r="L344" s="85"/>
      <c r="M344" s="85"/>
    </row>
    <row r="345" spans="6:13" ht="12.75">
      <c r="F345" s="85"/>
      <c r="G345" s="85"/>
      <c r="H345" s="85"/>
      <c r="I345" s="85"/>
      <c r="J345" s="85"/>
      <c r="K345" s="85"/>
      <c r="L345" s="85"/>
      <c r="M345" s="85"/>
    </row>
    <row r="346" spans="6:13" ht="12.75">
      <c r="F346" s="85"/>
      <c r="G346" s="85"/>
      <c r="H346" s="85"/>
      <c r="I346" s="85"/>
      <c r="J346" s="85"/>
      <c r="K346" s="85"/>
      <c r="L346" s="85"/>
      <c r="M346" s="85"/>
    </row>
    <row r="347" spans="6:13" ht="12.75">
      <c r="F347" s="85"/>
      <c r="G347" s="85"/>
      <c r="H347" s="85"/>
      <c r="I347" s="85"/>
      <c r="J347" s="85"/>
      <c r="K347" s="85"/>
      <c r="L347" s="85"/>
      <c r="M347" s="85"/>
    </row>
    <row r="348" spans="6:13" ht="12.75">
      <c r="F348" s="85"/>
      <c r="G348" s="85"/>
      <c r="H348" s="85"/>
      <c r="I348" s="85"/>
      <c r="J348" s="85"/>
      <c r="K348" s="85"/>
      <c r="L348" s="85"/>
      <c r="M348" s="85"/>
    </row>
    <row r="349" spans="6:13" ht="12.75">
      <c r="F349" s="85"/>
      <c r="G349" s="85"/>
      <c r="H349" s="85"/>
      <c r="I349" s="85"/>
      <c r="J349" s="85"/>
      <c r="K349" s="85"/>
      <c r="L349" s="85"/>
      <c r="M349" s="85"/>
    </row>
    <row r="350" spans="6:13" ht="12.75">
      <c r="F350" s="85"/>
      <c r="G350" s="85"/>
      <c r="H350" s="85"/>
      <c r="I350" s="85"/>
      <c r="J350" s="85"/>
      <c r="K350" s="85"/>
      <c r="L350" s="85"/>
      <c r="M350" s="85"/>
    </row>
    <row r="351" spans="6:13" ht="12.75">
      <c r="F351" s="85"/>
      <c r="G351" s="85"/>
      <c r="H351" s="85"/>
      <c r="I351" s="85"/>
      <c r="J351" s="85"/>
      <c r="K351" s="85"/>
      <c r="L351" s="85"/>
      <c r="M351" s="85"/>
    </row>
    <row r="352" spans="6:13" ht="12.75">
      <c r="F352" s="85"/>
      <c r="G352" s="85"/>
      <c r="H352" s="85"/>
      <c r="I352" s="85"/>
      <c r="J352" s="85"/>
      <c r="K352" s="85"/>
      <c r="L352" s="85"/>
      <c r="M352" s="85"/>
    </row>
    <row r="353" spans="6:13" ht="12.75">
      <c r="F353" s="85"/>
      <c r="G353" s="85"/>
      <c r="H353" s="85"/>
      <c r="I353" s="85"/>
      <c r="J353" s="85"/>
      <c r="K353" s="85"/>
      <c r="L353" s="85"/>
      <c r="M353" s="85"/>
    </row>
    <row r="354" spans="6:13" ht="12.75">
      <c r="F354" s="85"/>
      <c r="G354" s="85"/>
      <c r="H354" s="85"/>
      <c r="I354" s="85"/>
      <c r="J354" s="85"/>
      <c r="K354" s="85"/>
      <c r="L354" s="85"/>
      <c r="M354" s="85"/>
    </row>
    <row r="355" spans="6:13" ht="12.75">
      <c r="F355" s="85"/>
      <c r="G355" s="85"/>
      <c r="H355" s="85"/>
      <c r="I355" s="85"/>
      <c r="J355" s="85"/>
      <c r="K355" s="85"/>
      <c r="L355" s="85"/>
      <c r="M355" s="85"/>
    </row>
    <row r="356" spans="6:13" ht="12.75">
      <c r="F356" s="85"/>
      <c r="G356" s="85"/>
      <c r="H356" s="85"/>
      <c r="I356" s="85"/>
      <c r="J356" s="85"/>
      <c r="K356" s="85"/>
      <c r="L356" s="85"/>
      <c r="M356" s="85"/>
    </row>
    <row r="357" spans="6:13" ht="12.75">
      <c r="F357" s="85"/>
      <c r="G357" s="85"/>
      <c r="H357" s="85"/>
      <c r="I357" s="85"/>
      <c r="J357" s="85"/>
      <c r="K357" s="85"/>
      <c r="L357" s="85"/>
      <c r="M357" s="85"/>
    </row>
    <row r="358" spans="6:13" ht="12.75">
      <c r="F358" s="85"/>
      <c r="G358" s="85"/>
      <c r="H358" s="85"/>
      <c r="I358" s="85"/>
      <c r="J358" s="85"/>
      <c r="K358" s="85"/>
      <c r="L358" s="85"/>
      <c r="M358" s="85"/>
    </row>
    <row r="359" spans="6:13" ht="12.75">
      <c r="F359" s="85"/>
      <c r="G359" s="85"/>
      <c r="H359" s="85"/>
      <c r="I359" s="85"/>
      <c r="J359" s="85"/>
      <c r="K359" s="85"/>
      <c r="L359" s="85"/>
      <c r="M359" s="85"/>
    </row>
    <row r="360" spans="6:13" ht="12.75">
      <c r="F360" s="85"/>
      <c r="G360" s="85"/>
      <c r="H360" s="85"/>
      <c r="I360" s="85"/>
      <c r="J360" s="85"/>
      <c r="K360" s="85"/>
      <c r="L360" s="85"/>
      <c r="M360" s="85"/>
    </row>
    <row r="361" spans="6:13" ht="12.75">
      <c r="F361" s="85"/>
      <c r="G361" s="85"/>
      <c r="H361" s="85"/>
      <c r="I361" s="85"/>
      <c r="J361" s="85"/>
      <c r="K361" s="85"/>
      <c r="L361" s="85"/>
      <c r="M361" s="85"/>
    </row>
    <row r="362" spans="6:13" ht="12.75">
      <c r="F362" s="85"/>
      <c r="G362" s="85"/>
      <c r="H362" s="85"/>
      <c r="I362" s="85"/>
      <c r="J362" s="85"/>
      <c r="K362" s="85"/>
      <c r="L362" s="85"/>
      <c r="M362" s="85"/>
    </row>
    <row r="363" spans="6:13" ht="12.75">
      <c r="F363" s="85"/>
      <c r="G363" s="85"/>
      <c r="H363" s="85"/>
      <c r="I363" s="85"/>
      <c r="J363" s="85"/>
      <c r="K363" s="85"/>
      <c r="L363" s="85"/>
      <c r="M363" s="85"/>
    </row>
    <row r="364" spans="6:13" ht="12.75">
      <c r="F364" s="85"/>
      <c r="G364" s="85"/>
      <c r="H364" s="85"/>
      <c r="I364" s="85"/>
      <c r="J364" s="85"/>
      <c r="K364" s="85"/>
      <c r="L364" s="85"/>
      <c r="M364" s="85"/>
    </row>
    <row r="365" spans="6:13" ht="12.75">
      <c r="F365" s="85"/>
      <c r="G365" s="85"/>
      <c r="H365" s="85"/>
      <c r="I365" s="85"/>
      <c r="J365" s="85"/>
      <c r="K365" s="85"/>
      <c r="L365" s="85"/>
      <c r="M365" s="85"/>
    </row>
    <row r="366" spans="6:13" ht="12.75">
      <c r="F366" s="85"/>
      <c r="G366" s="85"/>
      <c r="H366" s="85"/>
      <c r="I366" s="85"/>
      <c r="J366" s="85"/>
      <c r="K366" s="85"/>
      <c r="L366" s="85"/>
      <c r="M366" s="85"/>
    </row>
    <row r="367" spans="6:13" ht="12.75">
      <c r="F367" s="85"/>
      <c r="G367" s="85"/>
      <c r="H367" s="85"/>
      <c r="I367" s="85"/>
      <c r="J367" s="85"/>
      <c r="K367" s="85"/>
      <c r="L367" s="85"/>
      <c r="M367" s="85"/>
    </row>
    <row r="368" spans="6:13" ht="12.75">
      <c r="F368" s="85"/>
      <c r="G368" s="85"/>
      <c r="H368" s="85"/>
      <c r="I368" s="85"/>
      <c r="J368" s="85"/>
      <c r="K368" s="85"/>
      <c r="L368" s="85"/>
      <c r="M368" s="85"/>
    </row>
    <row r="369" spans="6:13" ht="12.75">
      <c r="F369" s="85"/>
      <c r="G369" s="85"/>
      <c r="H369" s="85"/>
      <c r="I369" s="85"/>
      <c r="J369" s="85"/>
      <c r="K369" s="85"/>
      <c r="L369" s="85"/>
      <c r="M369" s="85"/>
    </row>
    <row r="370" spans="6:13" ht="12.75">
      <c r="F370" s="85"/>
      <c r="G370" s="85"/>
      <c r="H370" s="85"/>
      <c r="I370" s="85"/>
      <c r="J370" s="85"/>
      <c r="K370" s="85"/>
      <c r="L370" s="85"/>
      <c r="M370" s="85"/>
    </row>
    <row r="371" spans="6:13" ht="12.75">
      <c r="F371" s="85"/>
      <c r="G371" s="85"/>
      <c r="H371" s="85"/>
      <c r="I371" s="85"/>
      <c r="J371" s="85"/>
      <c r="K371" s="85"/>
      <c r="L371" s="85"/>
      <c r="M371" s="85"/>
    </row>
    <row r="372" spans="6:13" ht="12.75">
      <c r="F372" s="85"/>
      <c r="G372" s="85"/>
      <c r="H372" s="85"/>
      <c r="I372" s="85"/>
      <c r="J372" s="85"/>
      <c r="K372" s="85"/>
      <c r="L372" s="85"/>
      <c r="M372" s="85"/>
    </row>
    <row r="373" spans="6:13" ht="12.75">
      <c r="F373" s="85"/>
      <c r="G373" s="85"/>
      <c r="H373" s="85"/>
      <c r="I373" s="85"/>
      <c r="J373" s="85"/>
      <c r="K373" s="85"/>
      <c r="L373" s="85"/>
      <c r="M373" s="85"/>
    </row>
    <row r="374" spans="6:13" ht="12.75">
      <c r="F374" s="85"/>
      <c r="G374" s="85"/>
      <c r="H374" s="85"/>
      <c r="I374" s="85"/>
      <c r="J374" s="85"/>
      <c r="K374" s="85"/>
      <c r="L374" s="85"/>
      <c r="M374" s="85"/>
    </row>
    <row r="375" spans="6:13" ht="12.75">
      <c r="F375" s="85"/>
      <c r="G375" s="85"/>
      <c r="H375" s="85"/>
      <c r="I375" s="85"/>
      <c r="J375" s="85"/>
      <c r="K375" s="85"/>
      <c r="L375" s="85"/>
      <c r="M375" s="85"/>
    </row>
    <row r="376" spans="6:13" ht="12.75">
      <c r="F376" s="85"/>
      <c r="G376" s="85"/>
      <c r="H376" s="85"/>
      <c r="I376" s="85"/>
      <c r="J376" s="85"/>
      <c r="K376" s="85"/>
      <c r="L376" s="85"/>
      <c r="M376" s="85"/>
    </row>
    <row r="377" spans="6:13" ht="12.75">
      <c r="F377" s="85"/>
      <c r="G377" s="85"/>
      <c r="H377" s="85"/>
      <c r="I377" s="85"/>
      <c r="J377" s="85"/>
      <c r="K377" s="85"/>
      <c r="L377" s="85"/>
      <c r="M377" s="85"/>
    </row>
    <row r="378" spans="6:13" ht="12.75">
      <c r="F378" s="85"/>
      <c r="G378" s="85"/>
      <c r="H378" s="85"/>
      <c r="I378" s="85"/>
      <c r="J378" s="85"/>
      <c r="K378" s="85"/>
      <c r="L378" s="85"/>
      <c r="M378" s="85"/>
    </row>
    <row r="379" spans="6:13" ht="12.75">
      <c r="F379" s="85"/>
      <c r="G379" s="85"/>
      <c r="H379" s="85"/>
      <c r="I379" s="85"/>
      <c r="J379" s="85"/>
      <c r="K379" s="85"/>
      <c r="L379" s="85"/>
      <c r="M379" s="85"/>
    </row>
    <row r="380" spans="6:13" ht="12.75">
      <c r="F380" s="85"/>
      <c r="G380" s="85"/>
      <c r="H380" s="85"/>
      <c r="I380" s="85"/>
      <c r="J380" s="85"/>
      <c r="K380" s="85"/>
      <c r="L380" s="85"/>
      <c r="M380" s="85"/>
    </row>
    <row r="381" spans="6:13" ht="12.75">
      <c r="F381" s="85"/>
      <c r="G381" s="85"/>
      <c r="H381" s="85"/>
      <c r="I381" s="85"/>
      <c r="J381" s="85"/>
      <c r="K381" s="85"/>
      <c r="L381" s="85"/>
      <c r="M381" s="85"/>
    </row>
    <row r="382" spans="6:13" ht="12.75">
      <c r="F382" s="85"/>
      <c r="G382" s="85"/>
      <c r="H382" s="85"/>
      <c r="I382" s="85"/>
      <c r="J382" s="85"/>
      <c r="K382" s="85"/>
      <c r="L382" s="85"/>
      <c r="M382" s="85"/>
    </row>
    <row r="383" spans="6:13" ht="12.75">
      <c r="F383" s="85"/>
      <c r="G383" s="85"/>
      <c r="H383" s="85"/>
      <c r="I383" s="85"/>
      <c r="J383" s="85"/>
      <c r="K383" s="85"/>
      <c r="L383" s="85"/>
      <c r="M383" s="85"/>
    </row>
    <row r="384" spans="6:13" ht="12.75">
      <c r="F384" s="85"/>
      <c r="G384" s="85"/>
      <c r="H384" s="85"/>
      <c r="I384" s="85"/>
      <c r="J384" s="85"/>
      <c r="K384" s="85"/>
      <c r="L384" s="85"/>
      <c r="M384" s="85"/>
    </row>
    <row r="385" spans="6:13" ht="12.75">
      <c r="F385" s="85"/>
      <c r="G385" s="85"/>
      <c r="H385" s="85"/>
      <c r="I385" s="85"/>
      <c r="J385" s="85"/>
      <c r="K385" s="85"/>
      <c r="L385" s="85"/>
      <c r="M385" s="85"/>
    </row>
    <row r="386" spans="6:13" ht="12.75">
      <c r="F386" s="85"/>
      <c r="G386" s="85"/>
      <c r="H386" s="85"/>
      <c r="I386" s="85"/>
      <c r="J386" s="85"/>
      <c r="K386" s="85"/>
      <c r="L386" s="85"/>
      <c r="M386" s="85"/>
    </row>
    <row r="387" spans="6:13" ht="12.75">
      <c r="F387" s="85"/>
      <c r="G387" s="85"/>
      <c r="H387" s="85"/>
      <c r="I387" s="85"/>
      <c r="J387" s="85"/>
      <c r="K387" s="85"/>
      <c r="L387" s="85"/>
      <c r="M387" s="85"/>
    </row>
    <row r="388" spans="6:13" ht="12.75">
      <c r="F388" s="85"/>
      <c r="G388" s="85"/>
      <c r="H388" s="85"/>
      <c r="I388" s="85"/>
      <c r="J388" s="85"/>
      <c r="K388" s="85"/>
      <c r="L388" s="85"/>
      <c r="M388" s="85"/>
    </row>
    <row r="389" spans="6:13" ht="12.75">
      <c r="F389" s="85"/>
      <c r="G389" s="85"/>
      <c r="H389" s="85"/>
      <c r="I389" s="85"/>
      <c r="J389" s="85"/>
      <c r="K389" s="85"/>
      <c r="L389" s="85"/>
      <c r="M389" s="85"/>
    </row>
    <row r="390" spans="6:13" ht="12.75">
      <c r="F390" s="85"/>
      <c r="G390" s="85"/>
      <c r="H390" s="85"/>
      <c r="I390" s="85"/>
      <c r="J390" s="85"/>
      <c r="K390" s="85"/>
      <c r="L390" s="85"/>
      <c r="M390" s="85"/>
    </row>
    <row r="391" spans="6:13" ht="12.75">
      <c r="F391" s="85"/>
      <c r="G391" s="85"/>
      <c r="H391" s="85"/>
      <c r="I391" s="85"/>
      <c r="J391" s="85"/>
      <c r="K391" s="85"/>
      <c r="L391" s="85"/>
      <c r="M391" s="85"/>
    </row>
    <row r="392" spans="6:13" ht="12.75">
      <c r="F392" s="85"/>
      <c r="G392" s="85"/>
      <c r="H392" s="85"/>
      <c r="I392" s="85"/>
      <c r="J392" s="85"/>
      <c r="K392" s="85"/>
      <c r="L392" s="85"/>
      <c r="M392" s="85"/>
    </row>
    <row r="393" spans="6:13" ht="12.75">
      <c r="F393" s="85"/>
      <c r="G393" s="85"/>
      <c r="H393" s="85"/>
      <c r="I393" s="85"/>
      <c r="J393" s="85"/>
      <c r="K393" s="85"/>
      <c r="L393" s="85"/>
      <c r="M393" s="85"/>
    </row>
    <row r="394" spans="6:13" ht="12.75">
      <c r="F394" s="85"/>
      <c r="G394" s="85"/>
      <c r="H394" s="85"/>
      <c r="I394" s="85"/>
      <c r="J394" s="85"/>
      <c r="K394" s="85"/>
      <c r="L394" s="85"/>
      <c r="M394" s="85"/>
    </row>
    <row r="395" spans="6:13" ht="12.75">
      <c r="F395" s="85"/>
      <c r="G395" s="85"/>
      <c r="H395" s="85"/>
      <c r="I395" s="85"/>
      <c r="J395" s="85"/>
      <c r="K395" s="85"/>
      <c r="L395" s="85"/>
      <c r="M395" s="85"/>
    </row>
    <row r="396" spans="6:13" ht="12.75">
      <c r="F396" s="85"/>
      <c r="G396" s="85"/>
      <c r="H396" s="85"/>
      <c r="I396" s="85"/>
      <c r="J396" s="85"/>
      <c r="K396" s="85"/>
      <c r="L396" s="85"/>
      <c r="M396" s="85"/>
    </row>
    <row r="397" spans="6:13" ht="12.75">
      <c r="F397" s="85"/>
      <c r="G397" s="85"/>
      <c r="H397" s="85"/>
      <c r="I397" s="85"/>
      <c r="J397" s="85"/>
      <c r="K397" s="85"/>
      <c r="L397" s="85"/>
      <c r="M397" s="85"/>
    </row>
    <row r="398" spans="6:13" ht="12.75">
      <c r="F398" s="85"/>
      <c r="G398" s="85"/>
      <c r="H398" s="85"/>
      <c r="I398" s="85"/>
      <c r="J398" s="85"/>
      <c r="K398" s="85"/>
      <c r="L398" s="85"/>
      <c r="M398" s="85"/>
    </row>
    <row r="399" spans="6:13" ht="12.75">
      <c r="F399" s="85"/>
      <c r="G399" s="85"/>
      <c r="H399" s="85"/>
      <c r="I399" s="85"/>
      <c r="J399" s="85"/>
      <c r="K399" s="85"/>
      <c r="L399" s="85"/>
      <c r="M399" s="85"/>
    </row>
    <row r="400" spans="6:13" ht="12.75">
      <c r="F400" s="85"/>
      <c r="G400" s="85"/>
      <c r="H400" s="85"/>
      <c r="I400" s="85"/>
      <c r="J400" s="85"/>
      <c r="K400" s="85"/>
      <c r="L400" s="85"/>
      <c r="M400" s="85"/>
    </row>
    <row r="401" spans="6:13" ht="12.75">
      <c r="F401" s="85"/>
      <c r="G401" s="85"/>
      <c r="H401" s="85"/>
      <c r="I401" s="85"/>
      <c r="J401" s="85"/>
      <c r="K401" s="85"/>
      <c r="L401" s="85"/>
      <c r="M401" s="85"/>
    </row>
    <row r="402" spans="6:13" ht="12.75">
      <c r="F402" s="85"/>
      <c r="G402" s="85"/>
      <c r="H402" s="85"/>
      <c r="I402" s="85"/>
      <c r="J402" s="85"/>
      <c r="K402" s="85"/>
      <c r="L402" s="85"/>
      <c r="M402" s="85"/>
    </row>
    <row r="403" spans="6:13" ht="12.75">
      <c r="F403" s="85"/>
      <c r="G403" s="85"/>
      <c r="H403" s="85"/>
      <c r="I403" s="85"/>
      <c r="J403" s="85"/>
      <c r="K403" s="85"/>
      <c r="L403" s="85"/>
      <c r="M403" s="85"/>
    </row>
    <row r="404" spans="6:13" ht="12.75">
      <c r="F404" s="85"/>
      <c r="G404" s="85"/>
      <c r="H404" s="85"/>
      <c r="I404" s="85"/>
      <c r="J404" s="85"/>
      <c r="K404" s="85"/>
      <c r="L404" s="85"/>
      <c r="M404" s="85"/>
    </row>
    <row r="405" spans="6:13" ht="12.75">
      <c r="F405" s="85"/>
      <c r="G405" s="85"/>
      <c r="H405" s="85"/>
      <c r="I405" s="85"/>
      <c r="J405" s="85"/>
      <c r="K405" s="85"/>
      <c r="L405" s="85"/>
      <c r="M405" s="85"/>
    </row>
    <row r="406" spans="6:13" ht="12.75">
      <c r="F406" s="85"/>
      <c r="G406" s="85"/>
      <c r="H406" s="85"/>
      <c r="I406" s="85"/>
      <c r="J406" s="85"/>
      <c r="K406" s="85"/>
      <c r="L406" s="85"/>
      <c r="M406" s="85"/>
    </row>
    <row r="407" spans="6:13" ht="12.75">
      <c r="F407" s="85"/>
      <c r="G407" s="85"/>
      <c r="H407" s="85"/>
      <c r="I407" s="85"/>
      <c r="J407" s="85"/>
      <c r="K407" s="85"/>
      <c r="L407" s="85"/>
      <c r="M407" s="85"/>
    </row>
    <row r="408" spans="6:13" ht="12.75">
      <c r="F408" s="85"/>
      <c r="G408" s="85"/>
      <c r="H408" s="85"/>
      <c r="I408" s="85"/>
      <c r="J408" s="85"/>
      <c r="K408" s="85"/>
      <c r="L408" s="85"/>
      <c r="M408" s="85"/>
    </row>
    <row r="409" spans="6:13" ht="12.75">
      <c r="F409" s="85"/>
      <c r="G409" s="85"/>
      <c r="H409" s="85"/>
      <c r="I409" s="85"/>
      <c r="J409" s="85"/>
      <c r="K409" s="85"/>
      <c r="L409" s="85"/>
      <c r="M409" s="85"/>
    </row>
    <row r="410" spans="6:13" ht="12.75">
      <c r="F410" s="85"/>
      <c r="G410" s="85"/>
      <c r="H410" s="85"/>
      <c r="I410" s="85"/>
      <c r="J410" s="85"/>
      <c r="K410" s="85"/>
      <c r="L410" s="85"/>
      <c r="M410" s="85"/>
    </row>
    <row r="411" spans="6:13" ht="12.75">
      <c r="F411" s="85"/>
      <c r="G411" s="85"/>
      <c r="H411" s="85"/>
      <c r="I411" s="85"/>
      <c r="J411" s="85"/>
      <c r="K411" s="85"/>
      <c r="L411" s="85"/>
      <c r="M411" s="85"/>
    </row>
    <row r="412" spans="6:13" ht="12.75">
      <c r="F412" s="85"/>
      <c r="G412" s="85"/>
      <c r="H412" s="85"/>
      <c r="I412" s="85"/>
      <c r="J412" s="85"/>
      <c r="K412" s="85"/>
      <c r="L412" s="85"/>
      <c r="M412" s="85"/>
    </row>
    <row r="413" spans="6:13" ht="12.75">
      <c r="F413" s="85"/>
      <c r="G413" s="85"/>
      <c r="H413" s="85"/>
      <c r="I413" s="85"/>
      <c r="J413" s="85"/>
      <c r="K413" s="85"/>
      <c r="L413" s="85"/>
      <c r="M413" s="85"/>
    </row>
    <row r="414" spans="6:13" ht="12.75">
      <c r="F414" s="85"/>
      <c r="G414" s="85"/>
      <c r="H414" s="85"/>
      <c r="I414" s="85"/>
      <c r="J414" s="85"/>
      <c r="K414" s="85"/>
      <c r="L414" s="85"/>
      <c r="M414" s="85"/>
    </row>
    <row r="415" spans="6:13" ht="12.75">
      <c r="F415" s="85"/>
      <c r="G415" s="85"/>
      <c r="H415" s="85"/>
      <c r="I415" s="85"/>
      <c r="J415" s="85"/>
      <c r="K415" s="85"/>
      <c r="L415" s="85"/>
      <c r="M415" s="85"/>
    </row>
    <row r="416" spans="6:13" ht="12.75">
      <c r="F416" s="85"/>
      <c r="G416" s="85"/>
      <c r="H416" s="85"/>
      <c r="I416" s="85"/>
      <c r="J416" s="85"/>
      <c r="K416" s="85"/>
      <c r="L416" s="85"/>
      <c r="M416" s="85"/>
    </row>
    <row r="417" spans="6:13" ht="12.75">
      <c r="F417" s="85"/>
      <c r="G417" s="85"/>
      <c r="H417" s="85"/>
      <c r="I417" s="85"/>
      <c r="J417" s="85"/>
      <c r="K417" s="85"/>
      <c r="L417" s="85"/>
      <c r="M417" s="85"/>
    </row>
    <row r="418" spans="6:13" ht="12.75">
      <c r="F418" s="85"/>
      <c r="G418" s="85"/>
      <c r="H418" s="85"/>
      <c r="I418" s="85"/>
      <c r="J418" s="85"/>
      <c r="K418" s="85"/>
      <c r="L418" s="85"/>
      <c r="M418" s="85"/>
    </row>
    <row r="419" spans="6:13" ht="12.75">
      <c r="F419" s="85"/>
      <c r="G419" s="85"/>
      <c r="H419" s="85"/>
      <c r="I419" s="85"/>
      <c r="J419" s="85"/>
      <c r="K419" s="85"/>
      <c r="L419" s="85"/>
      <c r="M419" s="85"/>
    </row>
    <row r="420" spans="6:13" ht="12.75">
      <c r="F420" s="85"/>
      <c r="G420" s="85"/>
      <c r="H420" s="85"/>
      <c r="I420" s="85"/>
      <c r="J420" s="85"/>
      <c r="K420" s="85"/>
      <c r="L420" s="85"/>
      <c r="M420" s="85"/>
    </row>
    <row r="421" spans="6:13" ht="12.75">
      <c r="F421" s="85"/>
      <c r="G421" s="85"/>
      <c r="H421" s="85"/>
      <c r="I421" s="85"/>
      <c r="J421" s="85"/>
      <c r="K421" s="85"/>
      <c r="L421" s="85"/>
      <c r="M421" s="85"/>
    </row>
    <row r="422" spans="6:13" ht="12.75">
      <c r="F422" s="85"/>
      <c r="G422" s="85"/>
      <c r="H422" s="85"/>
      <c r="I422" s="85"/>
      <c r="J422" s="85"/>
      <c r="K422" s="85"/>
      <c r="L422" s="85"/>
      <c r="M422" s="85"/>
    </row>
    <row r="423" spans="6:13" ht="12.75">
      <c r="F423" s="85"/>
      <c r="G423" s="85"/>
      <c r="H423" s="85"/>
      <c r="I423" s="85"/>
      <c r="J423" s="85"/>
      <c r="K423" s="85"/>
      <c r="L423" s="85"/>
      <c r="M423" s="85"/>
    </row>
    <row r="424" spans="6:13" ht="12.75">
      <c r="F424" s="85"/>
      <c r="G424" s="85"/>
      <c r="H424" s="85"/>
      <c r="I424" s="85"/>
      <c r="J424" s="85"/>
      <c r="K424" s="85"/>
      <c r="L424" s="85"/>
      <c r="M424" s="85"/>
    </row>
    <row r="425" spans="6:13" ht="12.75">
      <c r="F425" s="85"/>
      <c r="G425" s="85"/>
      <c r="H425" s="85"/>
      <c r="I425" s="85"/>
      <c r="J425" s="85"/>
      <c r="K425" s="85"/>
      <c r="L425" s="85"/>
      <c r="M425" s="85"/>
    </row>
    <row r="426" spans="6:13" ht="12.75">
      <c r="F426" s="85"/>
      <c r="G426" s="85"/>
      <c r="H426" s="85"/>
      <c r="I426" s="85"/>
      <c r="J426" s="85"/>
      <c r="K426" s="85"/>
      <c r="L426" s="85"/>
      <c r="M426" s="85"/>
    </row>
    <row r="427" spans="6:13" ht="12.75">
      <c r="F427" s="85"/>
      <c r="G427" s="85"/>
      <c r="H427" s="85"/>
      <c r="I427" s="85"/>
      <c r="J427" s="85"/>
      <c r="K427" s="85"/>
      <c r="L427" s="85"/>
      <c r="M427" s="85"/>
    </row>
    <row r="428" spans="6:13" ht="12.75">
      <c r="F428" s="85"/>
      <c r="G428" s="85"/>
      <c r="H428" s="85"/>
      <c r="I428" s="85"/>
      <c r="J428" s="85"/>
      <c r="K428" s="85"/>
      <c r="L428" s="85"/>
      <c r="M428" s="85"/>
    </row>
    <row r="429" spans="6:13" ht="12.75">
      <c r="F429" s="85"/>
      <c r="G429" s="85"/>
      <c r="H429" s="85"/>
      <c r="I429" s="85"/>
      <c r="J429" s="85"/>
      <c r="K429" s="85"/>
      <c r="L429" s="85"/>
      <c r="M429" s="85"/>
    </row>
    <row r="430" spans="6:13" ht="12.75">
      <c r="F430" s="85"/>
      <c r="G430" s="85"/>
      <c r="H430" s="85"/>
      <c r="I430" s="85"/>
      <c r="J430" s="85"/>
      <c r="K430" s="85"/>
      <c r="L430" s="85"/>
      <c r="M430" s="85"/>
    </row>
    <row r="431" spans="6:13" ht="12.75">
      <c r="F431" s="85"/>
      <c r="G431" s="85"/>
      <c r="H431" s="85"/>
      <c r="I431" s="85"/>
      <c r="J431" s="85"/>
      <c r="K431" s="85"/>
      <c r="L431" s="85"/>
      <c r="M431" s="85"/>
    </row>
    <row r="432" spans="6:13" ht="12.75">
      <c r="F432" s="85"/>
      <c r="G432" s="85"/>
      <c r="H432" s="85"/>
      <c r="I432" s="85"/>
      <c r="J432" s="85"/>
      <c r="K432" s="85"/>
      <c r="L432" s="85"/>
      <c r="M432" s="85"/>
    </row>
    <row r="433" spans="6:13" ht="12.75">
      <c r="F433" s="85"/>
      <c r="G433" s="85"/>
      <c r="H433" s="85"/>
      <c r="I433" s="85"/>
      <c r="J433" s="85"/>
      <c r="K433" s="85"/>
      <c r="L433" s="85"/>
      <c r="M433" s="85"/>
    </row>
    <row r="434" spans="6:13" ht="12.75">
      <c r="F434" s="85"/>
      <c r="G434" s="85"/>
      <c r="H434" s="85"/>
      <c r="I434" s="85"/>
      <c r="J434" s="85"/>
      <c r="K434" s="85"/>
      <c r="L434" s="85"/>
      <c r="M434" s="85"/>
    </row>
    <row r="435" spans="6:13" ht="12.75">
      <c r="F435" s="85"/>
      <c r="G435" s="85"/>
      <c r="H435" s="85"/>
      <c r="I435" s="85"/>
      <c r="J435" s="85"/>
      <c r="K435" s="85"/>
      <c r="L435" s="85"/>
      <c r="M435" s="85"/>
    </row>
    <row r="436" spans="6:13" ht="12.75">
      <c r="F436" s="85"/>
      <c r="G436" s="85"/>
      <c r="H436" s="85"/>
      <c r="I436" s="85"/>
      <c r="J436" s="85"/>
      <c r="K436" s="85"/>
      <c r="L436" s="85"/>
      <c r="M436" s="85"/>
    </row>
    <row r="437" spans="6:13" ht="12.75">
      <c r="F437" s="85"/>
      <c r="G437" s="85"/>
      <c r="H437" s="85"/>
      <c r="I437" s="85"/>
      <c r="J437" s="85"/>
      <c r="K437" s="85"/>
      <c r="L437" s="85"/>
      <c r="M437" s="85"/>
    </row>
    <row r="438" spans="6:13" ht="12.75">
      <c r="F438" s="85"/>
      <c r="G438" s="85"/>
      <c r="H438" s="85"/>
      <c r="I438" s="85"/>
      <c r="J438" s="85"/>
      <c r="K438" s="85"/>
      <c r="L438" s="85"/>
      <c r="M438" s="85"/>
    </row>
    <row r="439" spans="6:13" ht="12.75">
      <c r="F439" s="85"/>
      <c r="G439" s="85"/>
      <c r="H439" s="85"/>
      <c r="I439" s="85"/>
      <c r="J439" s="85"/>
      <c r="K439" s="85"/>
      <c r="L439" s="85"/>
      <c r="M439" s="85"/>
    </row>
    <row r="440" spans="6:13" ht="12.75">
      <c r="F440" s="85"/>
      <c r="G440" s="85"/>
      <c r="H440" s="85"/>
      <c r="I440" s="85"/>
      <c r="J440" s="85"/>
      <c r="K440" s="85"/>
      <c r="L440" s="85"/>
      <c r="M440" s="85"/>
    </row>
    <row r="441" spans="6:13" ht="12.75">
      <c r="F441" s="85"/>
      <c r="G441" s="85"/>
      <c r="H441" s="85"/>
      <c r="I441" s="85"/>
      <c r="J441" s="85"/>
      <c r="K441" s="85"/>
      <c r="L441" s="85"/>
      <c r="M441" s="85"/>
    </row>
    <row r="442" spans="6:13" ht="12.75">
      <c r="F442" s="85"/>
      <c r="G442" s="85"/>
      <c r="H442" s="85"/>
      <c r="I442" s="85"/>
      <c r="J442" s="85"/>
      <c r="K442" s="85"/>
      <c r="L442" s="85"/>
      <c r="M442" s="85"/>
    </row>
    <row r="443" spans="6:13" ht="12.75">
      <c r="F443" s="85"/>
      <c r="G443" s="85"/>
      <c r="H443" s="85"/>
      <c r="I443" s="85"/>
      <c r="J443" s="85"/>
      <c r="K443" s="85"/>
      <c r="L443" s="85"/>
      <c r="M443" s="85"/>
    </row>
    <row r="444" spans="6:13" ht="12.75">
      <c r="F444" s="85"/>
      <c r="G444" s="85"/>
      <c r="H444" s="85"/>
      <c r="I444" s="85"/>
      <c r="J444" s="85"/>
      <c r="K444" s="85"/>
      <c r="L444" s="85"/>
      <c r="M444" s="85"/>
    </row>
    <row r="445" spans="6:13" ht="12.75">
      <c r="F445" s="85"/>
      <c r="G445" s="85"/>
      <c r="H445" s="85"/>
      <c r="I445" s="85"/>
      <c r="J445" s="85"/>
      <c r="K445" s="85"/>
      <c r="L445" s="85"/>
      <c r="M445" s="85"/>
    </row>
    <row r="446" spans="6:13" ht="12.75">
      <c r="F446" s="85"/>
      <c r="G446" s="85"/>
      <c r="H446" s="85"/>
      <c r="I446" s="85"/>
      <c r="J446" s="85"/>
      <c r="K446" s="85"/>
      <c r="L446" s="85"/>
      <c r="M446" s="85"/>
    </row>
    <row r="447" spans="6:13" ht="12.75">
      <c r="F447" s="85"/>
      <c r="G447" s="85"/>
      <c r="H447" s="85"/>
      <c r="I447" s="85"/>
      <c r="J447" s="85"/>
      <c r="K447" s="85"/>
      <c r="L447" s="85"/>
      <c r="M447" s="85"/>
    </row>
    <row r="448" spans="6:13" ht="12.75">
      <c r="F448" s="85"/>
      <c r="G448" s="85"/>
      <c r="H448" s="85"/>
      <c r="I448" s="85"/>
      <c r="J448" s="85"/>
      <c r="K448" s="85"/>
      <c r="L448" s="85"/>
      <c r="M448" s="85"/>
    </row>
    <row r="449" spans="6:13" ht="12.75">
      <c r="F449" s="85"/>
      <c r="G449" s="85"/>
      <c r="H449" s="85"/>
      <c r="I449" s="85"/>
      <c r="J449" s="85"/>
      <c r="K449" s="85"/>
      <c r="L449" s="85"/>
      <c r="M449" s="85"/>
    </row>
    <row r="450" spans="6:13" ht="12.75">
      <c r="F450" s="85"/>
      <c r="G450" s="85"/>
      <c r="H450" s="85"/>
      <c r="I450" s="85"/>
      <c r="J450" s="85"/>
      <c r="K450" s="85"/>
      <c r="L450" s="85"/>
      <c r="M450" s="85"/>
    </row>
    <row r="451" spans="6:13" ht="12.75">
      <c r="F451" s="85"/>
      <c r="G451" s="85"/>
      <c r="H451" s="85"/>
      <c r="I451" s="85"/>
      <c r="J451" s="85"/>
      <c r="K451" s="85"/>
      <c r="L451" s="85"/>
      <c r="M451" s="85"/>
    </row>
    <row r="452" spans="6:13" ht="12.75">
      <c r="F452" s="85"/>
      <c r="G452" s="85"/>
      <c r="H452" s="85"/>
      <c r="I452" s="85"/>
      <c r="J452" s="85"/>
      <c r="K452" s="85"/>
      <c r="L452" s="85"/>
      <c r="M452" s="85"/>
    </row>
    <row r="453" spans="6:13" ht="12.75">
      <c r="F453" s="85"/>
      <c r="G453" s="85"/>
      <c r="H453" s="85"/>
      <c r="I453" s="85"/>
      <c r="J453" s="85"/>
      <c r="K453" s="85"/>
      <c r="L453" s="85"/>
      <c r="M453" s="85"/>
    </row>
    <row r="454" spans="6:13" ht="12.75">
      <c r="F454" s="85"/>
      <c r="G454" s="85"/>
      <c r="H454" s="85"/>
      <c r="I454" s="85"/>
      <c r="J454" s="85"/>
      <c r="K454" s="85"/>
      <c r="L454" s="85"/>
      <c r="M454" s="85"/>
    </row>
    <row r="455" spans="6:13" ht="12.75">
      <c r="F455" s="85"/>
      <c r="G455" s="85"/>
      <c r="H455" s="85"/>
      <c r="I455" s="85"/>
      <c r="J455" s="85"/>
      <c r="K455" s="85"/>
      <c r="L455" s="85"/>
      <c r="M455" s="85"/>
    </row>
    <row r="456" spans="6:13" ht="12.75">
      <c r="F456" s="85"/>
      <c r="G456" s="85"/>
      <c r="H456" s="85"/>
      <c r="I456" s="85"/>
      <c r="J456" s="85"/>
      <c r="K456" s="85"/>
      <c r="L456" s="85"/>
      <c r="M456" s="85"/>
    </row>
    <row r="457" spans="6:13" ht="12.75">
      <c r="F457" s="85"/>
      <c r="G457" s="85"/>
      <c r="H457" s="85"/>
      <c r="I457" s="85"/>
      <c r="J457" s="85"/>
      <c r="K457" s="85"/>
      <c r="L457" s="85"/>
      <c r="M457" s="85"/>
    </row>
    <row r="458" spans="6:13" ht="12.75">
      <c r="F458" s="85"/>
      <c r="G458" s="85"/>
      <c r="H458" s="85"/>
      <c r="I458" s="85"/>
      <c r="J458" s="85"/>
      <c r="K458" s="85"/>
      <c r="L458" s="85"/>
      <c r="M458" s="85"/>
    </row>
    <row r="459" spans="6:13" ht="12.75">
      <c r="F459" s="85"/>
      <c r="G459" s="85"/>
      <c r="H459" s="85"/>
      <c r="I459" s="85"/>
      <c r="J459" s="85"/>
      <c r="K459" s="85"/>
      <c r="L459" s="85"/>
      <c r="M459" s="85"/>
    </row>
    <row r="460" spans="6:13" ht="12.75">
      <c r="F460" s="85"/>
      <c r="G460" s="85"/>
      <c r="H460" s="85"/>
      <c r="I460" s="85"/>
      <c r="J460" s="85"/>
      <c r="K460" s="85"/>
      <c r="L460" s="85"/>
      <c r="M460" s="85"/>
    </row>
    <row r="461" spans="6:13" ht="12.75">
      <c r="F461" s="85"/>
      <c r="G461" s="85"/>
      <c r="H461" s="85"/>
      <c r="I461" s="85"/>
      <c r="J461" s="85"/>
      <c r="K461" s="85"/>
      <c r="L461" s="85"/>
      <c r="M461" s="85"/>
    </row>
    <row r="462" spans="6:13" ht="12.75">
      <c r="F462" s="85"/>
      <c r="G462" s="85"/>
      <c r="H462" s="85"/>
      <c r="I462" s="85"/>
      <c r="J462" s="85"/>
      <c r="K462" s="85"/>
      <c r="L462" s="85"/>
      <c r="M462" s="85"/>
    </row>
    <row r="463" spans="6:13" ht="12.75">
      <c r="F463" s="85"/>
      <c r="G463" s="85"/>
      <c r="H463" s="85"/>
      <c r="I463" s="85"/>
      <c r="J463" s="85"/>
      <c r="K463" s="85"/>
      <c r="L463" s="85"/>
      <c r="M463" s="85"/>
    </row>
    <row r="464" spans="6:13" ht="12.75">
      <c r="F464" s="85"/>
      <c r="G464" s="85"/>
      <c r="H464" s="85"/>
      <c r="I464" s="85"/>
      <c r="J464" s="85"/>
      <c r="K464" s="85"/>
      <c r="L464" s="85"/>
      <c r="M464" s="85"/>
    </row>
    <row r="465" spans="6:13" ht="12.75">
      <c r="F465" s="85"/>
      <c r="G465" s="85"/>
      <c r="H465" s="85"/>
      <c r="I465" s="85"/>
      <c r="J465" s="85"/>
      <c r="K465" s="85"/>
      <c r="L465" s="85"/>
      <c r="M465" s="85"/>
    </row>
    <row r="466" spans="6:13" ht="12.75">
      <c r="F466" s="85"/>
      <c r="G466" s="85"/>
      <c r="H466" s="85"/>
      <c r="I466" s="85"/>
      <c r="J466" s="85"/>
      <c r="K466" s="85"/>
      <c r="L466" s="85"/>
      <c r="M466" s="85"/>
    </row>
    <row r="467" spans="6:13" ht="12.75">
      <c r="F467" s="85"/>
      <c r="G467" s="85"/>
      <c r="H467" s="85"/>
      <c r="I467" s="85"/>
      <c r="J467" s="85"/>
      <c r="K467" s="85"/>
      <c r="L467" s="85"/>
      <c r="M467" s="85"/>
    </row>
    <row r="468" spans="6:13" ht="12.75">
      <c r="F468" s="85"/>
      <c r="G468" s="85"/>
      <c r="H468" s="85"/>
      <c r="I468" s="85"/>
      <c r="J468" s="85"/>
      <c r="K468" s="85"/>
      <c r="L468" s="85"/>
      <c r="M468" s="85"/>
    </row>
    <row r="469" spans="6:13" ht="12.75">
      <c r="F469" s="85"/>
      <c r="G469" s="85"/>
      <c r="H469" s="85"/>
      <c r="I469" s="85"/>
      <c r="J469" s="85"/>
      <c r="K469" s="85"/>
      <c r="L469" s="85"/>
      <c r="M469" s="85"/>
    </row>
    <row r="470" spans="6:13" ht="12.75">
      <c r="F470" s="85"/>
      <c r="G470" s="85"/>
      <c r="H470" s="85"/>
      <c r="I470" s="85"/>
      <c r="J470" s="85"/>
      <c r="K470" s="85"/>
      <c r="L470" s="85"/>
      <c r="M470" s="85"/>
    </row>
    <row r="471" spans="6:13" ht="12.75">
      <c r="F471" s="85"/>
      <c r="G471" s="85"/>
      <c r="H471" s="85"/>
      <c r="I471" s="85"/>
      <c r="J471" s="85"/>
      <c r="K471" s="85"/>
      <c r="L471" s="85"/>
      <c r="M471" s="85"/>
    </row>
    <row r="472" spans="6:13" ht="12.75">
      <c r="F472" s="85"/>
      <c r="G472" s="85"/>
      <c r="H472" s="85"/>
      <c r="I472" s="85"/>
      <c r="J472" s="85"/>
      <c r="K472" s="85"/>
      <c r="L472" s="85"/>
      <c r="M472" s="85"/>
    </row>
    <row r="473" spans="6:13" ht="12.75">
      <c r="F473" s="85"/>
      <c r="G473" s="85"/>
      <c r="H473" s="85"/>
      <c r="I473" s="85"/>
      <c r="J473" s="85"/>
      <c r="K473" s="85"/>
      <c r="L473" s="85"/>
      <c r="M473" s="85"/>
    </row>
    <row r="474" spans="6:13" ht="12.75">
      <c r="F474" s="85"/>
      <c r="G474" s="85"/>
      <c r="H474" s="85"/>
      <c r="I474" s="85"/>
      <c r="J474" s="85"/>
      <c r="K474" s="85"/>
      <c r="L474" s="85"/>
      <c r="M474" s="85"/>
    </row>
    <row r="475" spans="6:13" ht="12.75">
      <c r="F475" s="85"/>
      <c r="G475" s="85"/>
      <c r="H475" s="85"/>
      <c r="I475" s="85"/>
      <c r="J475" s="85"/>
      <c r="K475" s="85"/>
      <c r="L475" s="85"/>
      <c r="M475" s="85"/>
    </row>
    <row r="476" spans="6:13" ht="12.75">
      <c r="F476" s="85"/>
      <c r="G476" s="85"/>
      <c r="H476" s="85"/>
      <c r="I476" s="85"/>
      <c r="J476" s="85"/>
      <c r="K476" s="85"/>
      <c r="L476" s="85"/>
      <c r="M476" s="85"/>
    </row>
    <row r="477" spans="6:13" ht="12.75">
      <c r="F477" s="85"/>
      <c r="G477" s="85"/>
      <c r="H477" s="85"/>
      <c r="I477" s="85"/>
      <c r="J477" s="85"/>
      <c r="K477" s="85"/>
      <c r="L477" s="85"/>
      <c r="M477" s="85"/>
    </row>
    <row r="478" spans="6:13" ht="12.75">
      <c r="F478" s="85"/>
      <c r="G478" s="85"/>
      <c r="H478" s="85"/>
      <c r="I478" s="85"/>
      <c r="J478" s="85"/>
      <c r="K478" s="85"/>
      <c r="L478" s="85"/>
      <c r="M478" s="85"/>
    </row>
    <row r="479" spans="6:13" ht="12.75">
      <c r="F479" s="85"/>
      <c r="G479" s="85"/>
      <c r="H479" s="85"/>
      <c r="I479" s="85"/>
      <c r="J479" s="85"/>
      <c r="K479" s="85"/>
      <c r="L479" s="85"/>
      <c r="M479" s="85"/>
    </row>
    <row r="480" spans="6:13" ht="12.75">
      <c r="F480" s="85"/>
      <c r="G480" s="85"/>
      <c r="H480" s="85"/>
      <c r="I480" s="85"/>
      <c r="J480" s="85"/>
      <c r="K480" s="85"/>
      <c r="L480" s="85"/>
      <c r="M480" s="85"/>
    </row>
    <row r="481" spans="6:13" ht="12.75">
      <c r="F481" s="85"/>
      <c r="G481" s="85"/>
      <c r="H481" s="85"/>
      <c r="I481" s="85"/>
      <c r="J481" s="85"/>
      <c r="K481" s="85"/>
      <c r="L481" s="85"/>
      <c r="M481" s="85"/>
    </row>
    <row r="482" spans="6:13" ht="12.75">
      <c r="F482" s="85"/>
      <c r="G482" s="85"/>
      <c r="H482" s="85"/>
      <c r="I482" s="85"/>
      <c r="J482" s="85"/>
      <c r="K482" s="85"/>
      <c r="L482" s="85"/>
      <c r="M482" s="85"/>
    </row>
    <row r="483" spans="6:13" ht="12.75">
      <c r="F483" s="85"/>
      <c r="G483" s="85"/>
      <c r="H483" s="85"/>
      <c r="I483" s="85"/>
      <c r="J483" s="85"/>
      <c r="K483" s="85"/>
      <c r="L483" s="85"/>
      <c r="M483" s="85"/>
    </row>
    <row r="484" spans="6:13" ht="12.75">
      <c r="F484" s="85"/>
      <c r="G484" s="85"/>
      <c r="H484" s="85"/>
      <c r="I484" s="85"/>
      <c r="J484" s="85"/>
      <c r="K484" s="85"/>
      <c r="L484" s="85"/>
      <c r="M484" s="85"/>
    </row>
    <row r="485" spans="6:13" ht="12.75">
      <c r="F485" s="85"/>
      <c r="G485" s="85"/>
      <c r="H485" s="85"/>
      <c r="I485" s="85"/>
      <c r="J485" s="85"/>
      <c r="K485" s="85"/>
      <c r="L485" s="85"/>
      <c r="M485" s="85"/>
    </row>
    <row r="486" spans="6:13" ht="12.75">
      <c r="F486" s="85"/>
      <c r="G486" s="85"/>
      <c r="H486" s="85"/>
      <c r="I486" s="85"/>
      <c r="J486" s="85"/>
      <c r="K486" s="85"/>
      <c r="L486" s="85"/>
      <c r="M486" s="85"/>
    </row>
    <row r="487" spans="6:13" ht="12.75">
      <c r="F487" s="85"/>
      <c r="G487" s="85"/>
      <c r="H487" s="85"/>
      <c r="I487" s="85"/>
      <c r="J487" s="85"/>
      <c r="K487" s="85"/>
      <c r="L487" s="85"/>
      <c r="M487" s="85"/>
    </row>
    <row r="488" spans="6:13" ht="12.75">
      <c r="F488" s="85"/>
      <c r="G488" s="85"/>
      <c r="H488" s="85"/>
      <c r="I488" s="85"/>
      <c r="J488" s="85"/>
      <c r="K488" s="85"/>
      <c r="L488" s="85"/>
      <c r="M488" s="85"/>
    </row>
    <row r="489" spans="6:13" ht="12.75">
      <c r="F489" s="85"/>
      <c r="G489" s="85"/>
      <c r="H489" s="85"/>
      <c r="I489" s="85"/>
      <c r="J489" s="85"/>
      <c r="K489" s="85"/>
      <c r="L489" s="85"/>
      <c r="M489" s="85"/>
    </row>
    <row r="490" spans="6:13" ht="12.75">
      <c r="F490" s="85"/>
      <c r="G490" s="85"/>
      <c r="H490" s="85"/>
      <c r="I490" s="85"/>
      <c r="J490" s="85"/>
      <c r="K490" s="85"/>
      <c r="L490" s="85"/>
      <c r="M490" s="85"/>
    </row>
    <row r="491" spans="6:13" ht="12.75">
      <c r="F491" s="85"/>
      <c r="G491" s="85"/>
      <c r="H491" s="85"/>
      <c r="I491" s="85"/>
      <c r="J491" s="85"/>
      <c r="K491" s="85"/>
      <c r="L491" s="85"/>
      <c r="M491" s="85"/>
    </row>
    <row r="492" spans="6:13" ht="12.75">
      <c r="F492" s="85"/>
      <c r="G492" s="85"/>
      <c r="H492" s="85"/>
      <c r="I492" s="85"/>
      <c r="J492" s="85"/>
      <c r="K492" s="85"/>
      <c r="L492" s="85"/>
      <c r="M492" s="85"/>
    </row>
    <row r="493" spans="6:13" ht="12.75">
      <c r="F493" s="85"/>
      <c r="G493" s="85"/>
      <c r="H493" s="85"/>
      <c r="I493" s="85"/>
      <c r="J493" s="85"/>
      <c r="K493" s="85"/>
      <c r="L493" s="85"/>
      <c r="M493" s="85"/>
    </row>
    <row r="494" spans="6:13" ht="12.75">
      <c r="F494" s="85"/>
      <c r="G494" s="85"/>
      <c r="H494" s="85"/>
      <c r="I494" s="85"/>
      <c r="J494" s="85"/>
      <c r="K494" s="85"/>
      <c r="L494" s="85"/>
      <c r="M494" s="85"/>
    </row>
    <row r="495" spans="6:13" ht="12.75">
      <c r="F495" s="85"/>
      <c r="G495" s="85"/>
      <c r="H495" s="85"/>
      <c r="I495" s="85"/>
      <c r="J495" s="85"/>
      <c r="K495" s="85"/>
      <c r="L495" s="85"/>
      <c r="M495" s="85"/>
    </row>
    <row r="496" spans="6:13" ht="12.75">
      <c r="F496" s="85"/>
      <c r="G496" s="85"/>
      <c r="H496" s="85"/>
      <c r="I496" s="85"/>
      <c r="J496" s="85"/>
      <c r="K496" s="85"/>
      <c r="L496" s="85"/>
      <c r="M496" s="85"/>
    </row>
    <row r="497" spans="6:13" ht="12.75">
      <c r="F497" s="85"/>
      <c r="G497" s="85"/>
      <c r="H497" s="85"/>
      <c r="I497" s="85"/>
      <c r="J497" s="85"/>
      <c r="K497" s="85"/>
      <c r="L497" s="85"/>
      <c r="M497" s="85"/>
    </row>
    <row r="498" spans="6:13" ht="12.75">
      <c r="F498" s="85"/>
      <c r="G498" s="85"/>
      <c r="H498" s="85"/>
      <c r="I498" s="85"/>
      <c r="J498" s="85"/>
      <c r="K498" s="85"/>
      <c r="L498" s="85"/>
      <c r="M498" s="85"/>
    </row>
    <row r="499" spans="6:13" ht="12.75">
      <c r="F499" s="85"/>
      <c r="G499" s="85"/>
      <c r="H499" s="85"/>
      <c r="I499" s="85"/>
      <c r="J499" s="85"/>
      <c r="K499" s="85"/>
      <c r="L499" s="85"/>
      <c r="M499" s="85"/>
    </row>
    <row r="500" spans="6:13" ht="12.75">
      <c r="F500" s="85"/>
      <c r="G500" s="85"/>
      <c r="H500" s="85"/>
      <c r="I500" s="85"/>
      <c r="J500" s="85"/>
      <c r="K500" s="85"/>
      <c r="L500" s="85"/>
      <c r="M500" s="85"/>
    </row>
    <row r="501" spans="6:13" ht="12.75">
      <c r="F501" s="85"/>
      <c r="G501" s="85"/>
      <c r="H501" s="85"/>
      <c r="I501" s="85"/>
      <c r="J501" s="85"/>
      <c r="K501" s="85"/>
      <c r="L501" s="85"/>
      <c r="M501" s="85"/>
    </row>
    <row r="502" spans="6:13" ht="12.75">
      <c r="F502" s="85"/>
      <c r="G502" s="85"/>
      <c r="H502" s="85"/>
      <c r="I502" s="85"/>
      <c r="J502" s="85"/>
      <c r="K502" s="85"/>
      <c r="L502" s="85"/>
      <c r="M502" s="85"/>
    </row>
    <row r="503" spans="6:13" ht="12.75">
      <c r="F503" s="85"/>
      <c r="G503" s="85"/>
      <c r="H503" s="85"/>
      <c r="I503" s="85"/>
      <c r="J503" s="85"/>
      <c r="K503" s="85"/>
      <c r="L503" s="85"/>
      <c r="M503" s="85"/>
    </row>
    <row r="504" spans="6:13" ht="12.75">
      <c r="F504" s="85"/>
      <c r="G504" s="85"/>
      <c r="H504" s="85"/>
      <c r="I504" s="85"/>
      <c r="J504" s="85"/>
      <c r="K504" s="85"/>
      <c r="L504" s="85"/>
      <c r="M504" s="85"/>
    </row>
    <row r="505" spans="6:13" ht="12.75">
      <c r="F505" s="85"/>
      <c r="G505" s="85"/>
      <c r="H505" s="85"/>
      <c r="I505" s="85"/>
      <c r="J505" s="85"/>
      <c r="K505" s="85"/>
      <c r="L505" s="85"/>
      <c r="M505" s="85"/>
    </row>
    <row r="506" spans="6:13" ht="12.75">
      <c r="F506" s="85"/>
      <c r="G506" s="85"/>
      <c r="H506" s="85"/>
      <c r="I506" s="85"/>
      <c r="J506" s="85"/>
      <c r="K506" s="85"/>
      <c r="L506" s="85"/>
      <c r="M506" s="85"/>
    </row>
    <row r="507" spans="6:13" ht="12.75">
      <c r="F507" s="85"/>
      <c r="G507" s="85"/>
      <c r="H507" s="85"/>
      <c r="I507" s="85"/>
      <c r="J507" s="85"/>
      <c r="K507" s="85"/>
      <c r="L507" s="85"/>
      <c r="M507" s="85"/>
    </row>
    <row r="508" spans="6:13" ht="12.75">
      <c r="F508" s="85"/>
      <c r="G508" s="85"/>
      <c r="H508" s="85"/>
      <c r="I508" s="85"/>
      <c r="J508" s="85"/>
      <c r="K508" s="85"/>
      <c r="L508" s="85"/>
      <c r="M508" s="85"/>
    </row>
    <row r="509" spans="6:13" ht="12.75">
      <c r="F509" s="85"/>
      <c r="G509" s="85"/>
      <c r="H509" s="85"/>
      <c r="I509" s="85"/>
      <c r="J509" s="85"/>
      <c r="K509" s="85"/>
      <c r="L509" s="85"/>
      <c r="M509" s="85"/>
    </row>
    <row r="510" spans="6:13" ht="12.75">
      <c r="F510" s="85"/>
      <c r="G510" s="85"/>
      <c r="H510" s="85"/>
      <c r="I510" s="85"/>
      <c r="J510" s="85"/>
      <c r="K510" s="85"/>
      <c r="L510" s="85"/>
      <c r="M510" s="85"/>
    </row>
    <row r="511" spans="6:13" ht="12.75">
      <c r="F511" s="85"/>
      <c r="G511" s="85"/>
      <c r="H511" s="85"/>
      <c r="I511" s="85"/>
      <c r="J511" s="85"/>
      <c r="K511" s="85"/>
      <c r="L511" s="85"/>
      <c r="M511" s="85"/>
    </row>
    <row r="512" spans="6:13" ht="12.75">
      <c r="F512" s="85"/>
      <c r="G512" s="85"/>
      <c r="H512" s="85"/>
      <c r="I512" s="85"/>
      <c r="J512" s="85"/>
      <c r="K512" s="85"/>
      <c r="L512" s="85"/>
      <c r="M512" s="85"/>
    </row>
    <row r="513" spans="6:13" ht="12.75">
      <c r="F513" s="85"/>
      <c r="G513" s="85"/>
      <c r="H513" s="85"/>
      <c r="I513" s="85"/>
      <c r="J513" s="85"/>
      <c r="K513" s="85"/>
      <c r="L513" s="85"/>
      <c r="M513" s="85"/>
    </row>
    <row r="514" spans="6:13" ht="12.75">
      <c r="F514" s="85"/>
      <c r="G514" s="85"/>
      <c r="H514" s="85"/>
      <c r="I514" s="85"/>
      <c r="J514" s="85"/>
      <c r="K514" s="85"/>
      <c r="L514" s="85"/>
      <c r="M514" s="85"/>
    </row>
    <row r="515" spans="6:13" ht="12.75">
      <c r="F515" s="85"/>
      <c r="G515" s="85"/>
      <c r="H515" s="85"/>
      <c r="I515" s="85"/>
      <c r="J515" s="85"/>
      <c r="K515" s="85"/>
      <c r="L515" s="85"/>
      <c r="M515" s="85"/>
    </row>
    <row r="516" spans="6:13" ht="12.75">
      <c r="F516" s="85"/>
      <c r="G516" s="85"/>
      <c r="H516" s="85"/>
      <c r="I516" s="85"/>
      <c r="J516" s="85"/>
      <c r="K516" s="85"/>
      <c r="L516" s="85"/>
      <c r="M516" s="85"/>
    </row>
    <row r="517" spans="6:13" ht="12.75">
      <c r="F517" s="85"/>
      <c r="G517" s="85"/>
      <c r="H517" s="85"/>
      <c r="I517" s="85"/>
      <c r="J517" s="85"/>
      <c r="K517" s="85"/>
      <c r="L517" s="85"/>
      <c r="M517" s="85"/>
    </row>
    <row r="518" spans="6:13" ht="12.75">
      <c r="F518" s="85"/>
      <c r="G518" s="85"/>
      <c r="H518" s="85"/>
      <c r="I518" s="85"/>
      <c r="J518" s="85"/>
      <c r="K518" s="85"/>
      <c r="L518" s="85"/>
      <c r="M518" s="85"/>
    </row>
    <row r="519" spans="6:13" ht="12.75">
      <c r="F519" s="85"/>
      <c r="G519" s="85"/>
      <c r="H519" s="85"/>
      <c r="I519" s="85"/>
      <c r="J519" s="85"/>
      <c r="K519" s="85"/>
      <c r="L519" s="85"/>
      <c r="M519" s="85"/>
    </row>
    <row r="520" spans="6:13" ht="12.75">
      <c r="F520" s="85"/>
      <c r="G520" s="85"/>
      <c r="H520" s="85"/>
      <c r="I520" s="85"/>
      <c r="J520" s="85"/>
      <c r="K520" s="85"/>
      <c r="L520" s="85"/>
      <c r="M520" s="85"/>
    </row>
    <row r="521" spans="6:13" ht="12.75">
      <c r="F521" s="85"/>
      <c r="G521" s="85"/>
      <c r="H521" s="85"/>
      <c r="I521" s="85"/>
      <c r="J521" s="85"/>
      <c r="K521" s="85"/>
      <c r="L521" s="85"/>
      <c r="M521" s="85"/>
    </row>
    <row r="522" spans="6:13" ht="12.75">
      <c r="F522" s="85"/>
      <c r="G522" s="85"/>
      <c r="H522" s="85"/>
      <c r="I522" s="85"/>
      <c r="J522" s="85"/>
      <c r="K522" s="85"/>
      <c r="L522" s="85"/>
      <c r="M522" s="85"/>
    </row>
    <row r="523" spans="6:13" ht="12.75">
      <c r="F523" s="85"/>
      <c r="G523" s="85"/>
      <c r="H523" s="85"/>
      <c r="I523" s="85"/>
      <c r="J523" s="85"/>
      <c r="K523" s="85"/>
      <c r="L523" s="85"/>
      <c r="M523" s="85"/>
    </row>
    <row r="524" spans="6:13" ht="12.75">
      <c r="F524" s="85"/>
      <c r="G524" s="85"/>
      <c r="H524" s="85"/>
      <c r="I524" s="85"/>
      <c r="J524" s="85"/>
      <c r="K524" s="85"/>
      <c r="L524" s="85"/>
      <c r="M524" s="85"/>
    </row>
    <row r="525" spans="6:13" ht="12.75">
      <c r="F525" s="85"/>
      <c r="G525" s="85"/>
      <c r="H525" s="85"/>
      <c r="I525" s="85"/>
      <c r="J525" s="85"/>
      <c r="K525" s="85"/>
      <c r="L525" s="85"/>
      <c r="M525" s="85"/>
    </row>
    <row r="526" spans="6:13" ht="12.75">
      <c r="F526" s="85"/>
      <c r="G526" s="85"/>
      <c r="H526" s="85"/>
      <c r="I526" s="85"/>
      <c r="J526" s="85"/>
      <c r="K526" s="85"/>
      <c r="L526" s="85"/>
      <c r="M526" s="85"/>
    </row>
    <row r="527" spans="6:13" ht="12.75">
      <c r="F527" s="85"/>
      <c r="G527" s="85"/>
      <c r="H527" s="85"/>
      <c r="I527" s="85"/>
      <c r="J527" s="85"/>
      <c r="K527" s="85"/>
      <c r="L527" s="85"/>
      <c r="M527" s="85"/>
    </row>
    <row r="528" spans="6:13" ht="12.75">
      <c r="F528" s="85"/>
      <c r="G528" s="85"/>
      <c r="H528" s="85"/>
      <c r="I528" s="85"/>
      <c r="J528" s="85"/>
      <c r="K528" s="85"/>
      <c r="L528" s="85"/>
      <c r="M528" s="85"/>
    </row>
    <row r="529" spans="6:13" ht="12.75">
      <c r="F529" s="85"/>
      <c r="G529" s="85"/>
      <c r="H529" s="85"/>
      <c r="I529" s="85"/>
      <c r="J529" s="85"/>
      <c r="K529" s="85"/>
      <c r="L529" s="85"/>
      <c r="M529" s="85"/>
    </row>
    <row r="530" spans="6:13" ht="12.75">
      <c r="F530" s="85"/>
      <c r="G530" s="85"/>
      <c r="H530" s="85"/>
      <c r="I530" s="85"/>
      <c r="J530" s="85"/>
      <c r="K530" s="85"/>
      <c r="L530" s="85"/>
      <c r="M530" s="85"/>
    </row>
    <row r="531" spans="6:13" ht="12.75">
      <c r="F531" s="85"/>
      <c r="G531" s="85"/>
      <c r="H531" s="85"/>
      <c r="I531" s="85"/>
      <c r="J531" s="85"/>
      <c r="K531" s="85"/>
      <c r="L531" s="85"/>
      <c r="M531" s="85"/>
    </row>
    <row r="532" spans="6:13" ht="12.75">
      <c r="F532" s="85"/>
      <c r="G532" s="85"/>
      <c r="H532" s="85"/>
      <c r="I532" s="85"/>
      <c r="J532" s="85"/>
      <c r="K532" s="85"/>
      <c r="L532" s="85"/>
      <c r="M532" s="85"/>
    </row>
    <row r="533" spans="6:13" ht="12.75">
      <c r="F533" s="85"/>
      <c r="G533" s="85"/>
      <c r="H533" s="85"/>
      <c r="I533" s="85"/>
      <c r="J533" s="85"/>
      <c r="K533" s="85"/>
      <c r="L533" s="85"/>
      <c r="M533" s="85"/>
    </row>
    <row r="534" spans="6:13" ht="12.75">
      <c r="F534" s="85"/>
      <c r="G534" s="85"/>
      <c r="H534" s="85"/>
      <c r="I534" s="85"/>
      <c r="J534" s="85"/>
      <c r="K534" s="85"/>
      <c r="L534" s="85"/>
      <c r="M534" s="85"/>
    </row>
    <row r="535" spans="6:13" ht="12.75">
      <c r="F535" s="85"/>
      <c r="G535" s="85"/>
      <c r="H535" s="85"/>
      <c r="I535" s="85"/>
      <c r="J535" s="85"/>
      <c r="K535" s="85"/>
      <c r="L535" s="85"/>
      <c r="M535" s="85"/>
    </row>
    <row r="536" spans="6:13" ht="12.75">
      <c r="F536" s="85"/>
      <c r="G536" s="85"/>
      <c r="H536" s="85"/>
      <c r="I536" s="85"/>
      <c r="J536" s="85"/>
      <c r="K536" s="85"/>
      <c r="L536" s="85"/>
      <c r="M536" s="85"/>
    </row>
    <row r="537" spans="6:13" ht="12.75">
      <c r="F537" s="85"/>
      <c r="G537" s="85"/>
      <c r="H537" s="85"/>
      <c r="I537" s="85"/>
      <c r="J537" s="85"/>
      <c r="K537" s="85"/>
      <c r="L537" s="85"/>
      <c r="M537" s="85"/>
    </row>
    <row r="538" spans="6:13" ht="12.75">
      <c r="F538" s="85"/>
      <c r="G538" s="85"/>
      <c r="H538" s="85"/>
      <c r="I538" s="85"/>
      <c r="J538" s="85"/>
      <c r="K538" s="85"/>
      <c r="L538" s="85"/>
      <c r="M538" s="85"/>
    </row>
    <row r="539" spans="6:13" ht="12.75">
      <c r="F539" s="85"/>
      <c r="G539" s="85"/>
      <c r="H539" s="85"/>
      <c r="I539" s="85"/>
      <c r="J539" s="85"/>
      <c r="K539" s="85"/>
      <c r="L539" s="85"/>
      <c r="M539" s="85"/>
    </row>
    <row r="540" spans="6:13" ht="12.75">
      <c r="F540" s="85"/>
      <c r="G540" s="85"/>
      <c r="H540" s="85"/>
      <c r="I540" s="85"/>
      <c r="J540" s="85"/>
      <c r="K540" s="85"/>
      <c r="L540" s="85"/>
      <c r="M540" s="85"/>
    </row>
    <row r="541" spans="6:13" ht="12.75">
      <c r="F541" s="85"/>
      <c r="G541" s="85"/>
      <c r="H541" s="85"/>
      <c r="I541" s="85"/>
      <c r="J541" s="85"/>
      <c r="K541" s="85"/>
      <c r="L541" s="85"/>
      <c r="M541" s="85"/>
    </row>
    <row r="542" spans="6:13" ht="12.75">
      <c r="F542" s="85"/>
      <c r="G542" s="85"/>
      <c r="H542" s="85"/>
      <c r="I542" s="85"/>
      <c r="J542" s="85"/>
      <c r="K542" s="85"/>
      <c r="L542" s="85"/>
      <c r="M542" s="85"/>
    </row>
    <row r="543" spans="6:13" ht="12.75">
      <c r="F543" s="85"/>
      <c r="G543" s="85"/>
      <c r="H543" s="85"/>
      <c r="I543" s="85"/>
      <c r="J543" s="85"/>
      <c r="K543" s="85"/>
      <c r="L543" s="85"/>
      <c r="M543" s="85"/>
    </row>
    <row r="544" spans="6:13" ht="12.75">
      <c r="F544" s="85"/>
      <c r="G544" s="85"/>
      <c r="H544" s="85"/>
      <c r="I544" s="85"/>
      <c r="J544" s="85"/>
      <c r="K544" s="85"/>
      <c r="L544" s="85"/>
      <c r="M544" s="85"/>
    </row>
    <row r="545" spans="6:13" ht="12.75">
      <c r="F545" s="85"/>
      <c r="G545" s="85"/>
      <c r="H545" s="85"/>
      <c r="I545" s="85"/>
      <c r="J545" s="85"/>
      <c r="K545" s="85"/>
      <c r="L545" s="85"/>
      <c r="M545" s="85"/>
    </row>
    <row r="546" spans="6:13" ht="12.75">
      <c r="F546" s="85"/>
      <c r="G546" s="85"/>
      <c r="H546" s="85"/>
      <c r="I546" s="85"/>
      <c r="J546" s="85"/>
      <c r="K546" s="85"/>
      <c r="L546" s="85"/>
      <c r="M546" s="85"/>
    </row>
    <row r="547" spans="6:13" ht="12.75">
      <c r="F547" s="85"/>
      <c r="G547" s="85"/>
      <c r="H547" s="85"/>
      <c r="I547" s="85"/>
      <c r="J547" s="85"/>
      <c r="K547" s="85"/>
      <c r="L547" s="85"/>
      <c r="M547" s="85"/>
    </row>
    <row r="548" spans="6:13" ht="12.75">
      <c r="F548" s="85"/>
      <c r="G548" s="85"/>
      <c r="H548" s="85"/>
      <c r="I548" s="85"/>
      <c r="J548" s="85"/>
      <c r="K548" s="85"/>
      <c r="L548" s="85"/>
      <c r="M548" s="85"/>
    </row>
    <row r="549" spans="6:13" ht="12.75">
      <c r="F549" s="85"/>
      <c r="G549" s="85"/>
      <c r="H549" s="85"/>
      <c r="I549" s="85"/>
      <c r="J549" s="85"/>
      <c r="K549" s="85"/>
      <c r="L549" s="85"/>
      <c r="M549" s="85"/>
    </row>
    <row r="550" spans="6:13" ht="12.75">
      <c r="F550" s="85"/>
      <c r="G550" s="85"/>
      <c r="H550" s="85"/>
      <c r="I550" s="85"/>
      <c r="J550" s="85"/>
      <c r="K550" s="85"/>
      <c r="L550" s="85"/>
      <c r="M550" s="85"/>
    </row>
    <row r="551" spans="6:13" ht="12.75">
      <c r="F551" s="85"/>
      <c r="G551" s="85"/>
      <c r="H551" s="85"/>
      <c r="I551" s="85"/>
      <c r="J551" s="85"/>
      <c r="K551" s="85"/>
      <c r="L551" s="85"/>
      <c r="M551" s="85"/>
    </row>
    <row r="552" spans="6:13" ht="12.75">
      <c r="F552" s="85"/>
      <c r="G552" s="85"/>
      <c r="H552" s="85"/>
      <c r="I552" s="85"/>
      <c r="J552" s="85"/>
      <c r="K552" s="85"/>
      <c r="L552" s="85"/>
      <c r="M552" s="85"/>
    </row>
    <row r="553" spans="6:13" ht="12.75">
      <c r="F553" s="85"/>
      <c r="G553" s="85"/>
      <c r="H553" s="85"/>
      <c r="I553" s="85"/>
      <c r="J553" s="85"/>
      <c r="K553" s="85"/>
      <c r="L553" s="85"/>
      <c r="M553" s="85"/>
    </row>
    <row r="554" spans="6:13" ht="12.75">
      <c r="F554" s="85"/>
      <c r="G554" s="85"/>
      <c r="H554" s="85"/>
      <c r="I554" s="85"/>
      <c r="J554" s="85"/>
      <c r="K554" s="85"/>
      <c r="L554" s="85"/>
      <c r="M554" s="85"/>
    </row>
    <row r="555" spans="6:13" ht="12.75">
      <c r="F555" s="85"/>
      <c r="G555" s="85"/>
      <c r="H555" s="85"/>
      <c r="I555" s="85"/>
      <c r="J555" s="85"/>
      <c r="K555" s="85"/>
      <c r="L555" s="85"/>
      <c r="M555" s="85"/>
    </row>
    <row r="556" spans="6:13" ht="12.75">
      <c r="F556" s="85"/>
      <c r="G556" s="85"/>
      <c r="H556" s="85"/>
      <c r="I556" s="85"/>
      <c r="J556" s="85"/>
      <c r="K556" s="85"/>
      <c r="L556" s="85"/>
      <c r="M556" s="85"/>
    </row>
    <row r="557" spans="6:13" ht="12.75">
      <c r="F557" s="85"/>
      <c r="G557" s="85"/>
      <c r="H557" s="85"/>
      <c r="I557" s="85"/>
      <c r="J557" s="85"/>
      <c r="K557" s="85"/>
      <c r="L557" s="85"/>
      <c r="M557" s="85"/>
    </row>
    <row r="558" spans="6:13" ht="12.75">
      <c r="F558" s="85"/>
      <c r="G558" s="85"/>
      <c r="H558" s="85"/>
      <c r="I558" s="85"/>
      <c r="J558" s="85"/>
      <c r="K558" s="85"/>
      <c r="L558" s="85"/>
      <c r="M558" s="85"/>
    </row>
    <row r="559" spans="6:13" ht="12.75">
      <c r="F559" s="85"/>
      <c r="G559" s="85"/>
      <c r="H559" s="85"/>
      <c r="I559" s="85"/>
      <c r="J559" s="85"/>
      <c r="K559" s="85"/>
      <c r="L559" s="85"/>
      <c r="M559" s="85"/>
    </row>
    <row r="560" spans="6:13" ht="12.75">
      <c r="F560" s="85"/>
      <c r="G560" s="85"/>
      <c r="H560" s="85"/>
      <c r="I560" s="85"/>
      <c r="J560" s="85"/>
      <c r="K560" s="85"/>
      <c r="L560" s="85"/>
      <c r="M560" s="85"/>
    </row>
    <row r="561" spans="6:13" ht="12.75">
      <c r="F561" s="85"/>
      <c r="G561" s="85"/>
      <c r="H561" s="85"/>
      <c r="I561" s="85"/>
      <c r="J561" s="85"/>
      <c r="K561" s="85"/>
      <c r="L561" s="85"/>
      <c r="M561" s="85"/>
    </row>
    <row r="562" spans="6:13" ht="12.75">
      <c r="F562" s="85"/>
      <c r="G562" s="85"/>
      <c r="H562" s="85"/>
      <c r="I562" s="85"/>
      <c r="J562" s="85"/>
      <c r="K562" s="85"/>
      <c r="L562" s="85"/>
      <c r="M562" s="85"/>
    </row>
    <row r="563" spans="6:13" ht="12.75">
      <c r="F563" s="85"/>
      <c r="G563" s="85"/>
      <c r="H563" s="85"/>
      <c r="I563" s="85"/>
      <c r="J563" s="85"/>
      <c r="K563" s="85"/>
      <c r="L563" s="85"/>
      <c r="M563" s="85"/>
    </row>
    <row r="564" spans="6:13" ht="12.75">
      <c r="F564" s="85"/>
      <c r="G564" s="85"/>
      <c r="H564" s="85"/>
      <c r="I564" s="85"/>
      <c r="J564" s="85"/>
      <c r="K564" s="85"/>
      <c r="L564" s="85"/>
      <c r="M564" s="85"/>
    </row>
    <row r="565" spans="6:13" ht="12.75">
      <c r="F565" s="85"/>
      <c r="G565" s="85"/>
      <c r="H565" s="85"/>
      <c r="I565" s="85"/>
      <c r="J565" s="85"/>
      <c r="K565" s="85"/>
      <c r="L565" s="85"/>
      <c r="M565" s="85"/>
    </row>
    <row r="566" spans="6:13" ht="12.75">
      <c r="F566" s="85"/>
      <c r="G566" s="85"/>
      <c r="H566" s="85"/>
      <c r="I566" s="85"/>
      <c r="J566" s="85"/>
      <c r="K566" s="85"/>
      <c r="L566" s="85"/>
      <c r="M566" s="85"/>
    </row>
    <row r="567" spans="6:13" ht="12.75">
      <c r="F567" s="85"/>
      <c r="G567" s="85"/>
      <c r="H567" s="85"/>
      <c r="I567" s="85"/>
      <c r="J567" s="85"/>
      <c r="K567" s="85"/>
      <c r="L567" s="85"/>
      <c r="M567" s="85"/>
    </row>
    <row r="568" spans="6:13" ht="12.75">
      <c r="F568" s="85"/>
      <c r="G568" s="85"/>
      <c r="H568" s="85"/>
      <c r="I568" s="85"/>
      <c r="J568" s="85"/>
      <c r="K568" s="85"/>
      <c r="L568" s="85"/>
      <c r="M568" s="85"/>
    </row>
    <row r="569" spans="6:13" ht="12.75">
      <c r="F569" s="85"/>
      <c r="G569" s="85"/>
      <c r="H569" s="85"/>
      <c r="I569" s="85"/>
      <c r="J569" s="85"/>
      <c r="K569" s="85"/>
      <c r="L569" s="85"/>
      <c r="M569" s="85"/>
    </row>
    <row r="570" spans="6:13" ht="12.75">
      <c r="F570" s="85"/>
      <c r="G570" s="85"/>
      <c r="H570" s="85"/>
      <c r="I570" s="85"/>
      <c r="J570" s="85"/>
      <c r="K570" s="85"/>
      <c r="L570" s="85"/>
      <c r="M570" s="85"/>
    </row>
    <row r="571" spans="6:13" ht="12.75">
      <c r="F571" s="85"/>
      <c r="G571" s="85"/>
      <c r="H571" s="85"/>
      <c r="I571" s="85"/>
      <c r="J571" s="85"/>
      <c r="K571" s="85"/>
      <c r="L571" s="85"/>
      <c r="M571" s="85"/>
    </row>
    <row r="572" spans="6:13" ht="12.75">
      <c r="F572" s="85"/>
      <c r="G572" s="85"/>
      <c r="H572" s="85"/>
      <c r="I572" s="85"/>
      <c r="J572" s="85"/>
      <c r="K572" s="85"/>
      <c r="L572" s="85"/>
      <c r="M572" s="85"/>
    </row>
    <row r="573" spans="6:13" ht="12.75">
      <c r="F573" s="85"/>
      <c r="G573" s="85"/>
      <c r="H573" s="85"/>
      <c r="I573" s="85"/>
      <c r="J573" s="85"/>
      <c r="K573" s="85"/>
      <c r="L573" s="85"/>
      <c r="M573" s="85"/>
    </row>
    <row r="574" spans="6:13" ht="12.75">
      <c r="F574" s="85"/>
      <c r="G574" s="85"/>
      <c r="H574" s="85"/>
      <c r="I574" s="85"/>
      <c r="J574" s="85"/>
      <c r="K574" s="85"/>
      <c r="L574" s="85"/>
      <c r="M574" s="85"/>
    </row>
    <row r="575" spans="6:13" ht="12.75">
      <c r="F575" s="85"/>
      <c r="G575" s="85"/>
      <c r="H575" s="85"/>
      <c r="I575" s="85"/>
      <c r="J575" s="85"/>
      <c r="K575" s="85"/>
      <c r="L575" s="85"/>
      <c r="M575" s="85"/>
    </row>
    <row r="576" spans="6:13" ht="12.75">
      <c r="F576" s="85"/>
      <c r="G576" s="85"/>
      <c r="H576" s="85"/>
      <c r="I576" s="85"/>
      <c r="J576" s="85"/>
      <c r="K576" s="85"/>
      <c r="L576" s="85"/>
      <c r="M576" s="85"/>
    </row>
    <row r="577" spans="6:13" ht="12.75">
      <c r="F577" s="85"/>
      <c r="G577" s="85"/>
      <c r="H577" s="85"/>
      <c r="I577" s="85"/>
      <c r="J577" s="85"/>
      <c r="K577" s="85"/>
      <c r="L577" s="85"/>
      <c r="M577" s="85"/>
    </row>
    <row r="578" spans="6:13" ht="12.75">
      <c r="F578" s="85"/>
      <c r="G578" s="85"/>
      <c r="H578" s="85"/>
      <c r="I578" s="85"/>
      <c r="J578" s="85"/>
      <c r="K578" s="85"/>
      <c r="L578" s="85"/>
      <c r="M578" s="85"/>
    </row>
    <row r="579" spans="6:13" ht="12.75">
      <c r="F579" s="85"/>
      <c r="G579" s="85"/>
      <c r="H579" s="85"/>
      <c r="I579" s="85"/>
      <c r="J579" s="85"/>
      <c r="K579" s="85"/>
      <c r="L579" s="85"/>
      <c r="M579" s="85"/>
    </row>
    <row r="580" spans="6:13" ht="12.75">
      <c r="F580" s="85"/>
      <c r="G580" s="85"/>
      <c r="H580" s="85"/>
      <c r="I580" s="85"/>
      <c r="J580" s="85"/>
      <c r="K580" s="85"/>
      <c r="L580" s="85"/>
      <c r="M580" s="85"/>
    </row>
    <row r="581" spans="6:13" ht="12.75">
      <c r="F581" s="85"/>
      <c r="G581" s="85"/>
      <c r="H581" s="85"/>
      <c r="I581" s="85"/>
      <c r="J581" s="85"/>
      <c r="K581" s="85"/>
      <c r="L581" s="85"/>
      <c r="M581" s="85"/>
    </row>
    <row r="582" spans="6:13" ht="12.75">
      <c r="F582" s="85"/>
      <c r="G582" s="85"/>
      <c r="H582" s="85"/>
      <c r="I582" s="85"/>
      <c r="J582" s="85"/>
      <c r="K582" s="85"/>
      <c r="L582" s="85"/>
      <c r="M582" s="85"/>
    </row>
    <row r="583" spans="6:13" ht="12.75">
      <c r="F583" s="85"/>
      <c r="G583" s="85"/>
      <c r="H583" s="85"/>
      <c r="I583" s="85"/>
      <c r="J583" s="85"/>
      <c r="K583" s="85"/>
      <c r="L583" s="85"/>
      <c r="M583" s="85"/>
    </row>
    <row r="584" spans="6:13" ht="12.75">
      <c r="F584" s="85"/>
      <c r="G584" s="85"/>
      <c r="H584" s="85"/>
      <c r="I584" s="85"/>
      <c r="J584" s="85"/>
      <c r="K584" s="85"/>
      <c r="L584" s="85"/>
      <c r="M584" s="85"/>
    </row>
    <row r="585" spans="6:13" ht="12.75">
      <c r="F585" s="85"/>
      <c r="G585" s="85"/>
      <c r="H585" s="85"/>
      <c r="I585" s="85"/>
      <c r="J585" s="85"/>
      <c r="K585" s="85"/>
      <c r="L585" s="85"/>
      <c r="M585" s="85"/>
    </row>
    <row r="586" spans="6:13" ht="12.75">
      <c r="F586" s="85"/>
      <c r="G586" s="85"/>
      <c r="H586" s="85"/>
      <c r="I586" s="85"/>
      <c r="J586" s="85"/>
      <c r="K586" s="85"/>
      <c r="L586" s="85"/>
      <c r="M586" s="85"/>
    </row>
    <row r="587" spans="6:13" ht="12.75">
      <c r="F587" s="85"/>
      <c r="G587" s="85"/>
      <c r="H587" s="85"/>
      <c r="I587" s="85"/>
      <c r="J587" s="85"/>
      <c r="K587" s="85"/>
      <c r="L587" s="85"/>
      <c r="M587" s="85"/>
    </row>
    <row r="588" spans="6:13" ht="12.75">
      <c r="F588" s="85"/>
      <c r="G588" s="85"/>
      <c r="H588" s="85"/>
      <c r="I588" s="85"/>
      <c r="J588" s="85"/>
      <c r="K588" s="85"/>
      <c r="L588" s="85"/>
      <c r="M588" s="85"/>
    </row>
    <row r="589" spans="6:13" ht="12.75">
      <c r="F589" s="85"/>
      <c r="G589" s="85"/>
      <c r="H589" s="85"/>
      <c r="I589" s="85"/>
      <c r="J589" s="85"/>
      <c r="K589" s="85"/>
      <c r="L589" s="85"/>
      <c r="M589" s="85"/>
    </row>
    <row r="590" spans="6:13" ht="12.75">
      <c r="F590" s="85"/>
      <c r="G590" s="85"/>
      <c r="H590" s="85"/>
      <c r="I590" s="85"/>
      <c r="J590" s="85"/>
      <c r="K590" s="85"/>
      <c r="L590" s="85"/>
      <c r="M590" s="85"/>
    </row>
    <row r="591" spans="6:13" ht="12.75">
      <c r="F591" s="85"/>
      <c r="G591" s="85"/>
      <c r="H591" s="85"/>
      <c r="I591" s="85"/>
      <c r="J591" s="85"/>
      <c r="K591" s="85"/>
      <c r="L591" s="85"/>
      <c r="M591" s="85"/>
    </row>
    <row r="592" spans="6:13" ht="12.75">
      <c r="F592" s="85"/>
      <c r="G592" s="85"/>
      <c r="H592" s="85"/>
      <c r="I592" s="85"/>
      <c r="J592" s="85"/>
      <c r="K592" s="85"/>
      <c r="L592" s="85"/>
      <c r="M592" s="85"/>
    </row>
    <row r="593" spans="6:13" ht="12.75">
      <c r="F593" s="85"/>
      <c r="G593" s="85"/>
      <c r="H593" s="85"/>
      <c r="I593" s="85"/>
      <c r="J593" s="85"/>
      <c r="K593" s="85"/>
      <c r="L593" s="85"/>
      <c r="M593" s="85"/>
    </row>
    <row r="594" spans="6:13" ht="12.75">
      <c r="F594" s="85"/>
      <c r="G594" s="85"/>
      <c r="H594" s="85"/>
      <c r="I594" s="85"/>
      <c r="J594" s="85"/>
      <c r="K594" s="85"/>
      <c r="L594" s="85"/>
      <c r="M594" s="85"/>
    </row>
    <row r="595" spans="6:13" ht="12.75">
      <c r="F595" s="85"/>
      <c r="G595" s="85"/>
      <c r="H595" s="85"/>
      <c r="I595" s="85"/>
      <c r="J595" s="85"/>
      <c r="K595" s="85"/>
      <c r="L595" s="85"/>
      <c r="M595" s="85"/>
    </row>
    <row r="596" spans="6:13" ht="12.75">
      <c r="F596" s="85"/>
      <c r="G596" s="85"/>
      <c r="H596" s="85"/>
      <c r="I596" s="85"/>
      <c r="J596" s="85"/>
      <c r="K596" s="85"/>
      <c r="L596" s="85"/>
      <c r="M596" s="85"/>
    </row>
    <row r="597" spans="6:13" ht="12.75">
      <c r="F597" s="85"/>
      <c r="G597" s="85"/>
      <c r="H597" s="85"/>
      <c r="I597" s="85"/>
      <c r="J597" s="85"/>
      <c r="K597" s="85"/>
      <c r="L597" s="85"/>
      <c r="M597" s="85"/>
    </row>
    <row r="598" spans="6:13" ht="12.75">
      <c r="F598" s="85"/>
      <c r="G598" s="85"/>
      <c r="H598" s="85"/>
      <c r="I598" s="85"/>
      <c r="J598" s="85"/>
      <c r="K598" s="85"/>
      <c r="L598" s="85"/>
      <c r="M598" s="85"/>
    </row>
    <row r="599" spans="6:13" ht="12.75">
      <c r="F599" s="85"/>
      <c r="G599" s="85"/>
      <c r="H599" s="85"/>
      <c r="I599" s="85"/>
      <c r="J599" s="85"/>
      <c r="K599" s="85"/>
      <c r="L599" s="85"/>
      <c r="M599" s="85"/>
    </row>
    <row r="600" spans="6:13" ht="12.75">
      <c r="F600" s="85"/>
      <c r="G600" s="85"/>
      <c r="H600" s="85"/>
      <c r="I600" s="85"/>
      <c r="J600" s="85"/>
      <c r="K600" s="85"/>
      <c r="L600" s="85"/>
      <c r="M600" s="85"/>
    </row>
    <row r="601" spans="6:13" ht="12.75">
      <c r="F601" s="85"/>
      <c r="G601" s="85"/>
      <c r="H601" s="85"/>
      <c r="I601" s="85"/>
      <c r="J601" s="85"/>
      <c r="K601" s="85"/>
      <c r="L601" s="85"/>
      <c r="M601" s="85"/>
    </row>
    <row r="602" spans="6:13" ht="12.75">
      <c r="F602" s="85"/>
      <c r="G602" s="85"/>
      <c r="H602" s="85"/>
      <c r="I602" s="85"/>
      <c r="J602" s="85"/>
      <c r="K602" s="85"/>
      <c r="L602" s="85"/>
      <c r="M602" s="85"/>
    </row>
    <row r="603" spans="6:13" ht="12.75">
      <c r="F603" s="85"/>
      <c r="G603" s="85"/>
      <c r="H603" s="85"/>
      <c r="I603" s="85"/>
      <c r="J603" s="85"/>
      <c r="K603" s="85"/>
      <c r="L603" s="85"/>
      <c r="M603" s="85"/>
    </row>
    <row r="604" spans="6:13" ht="12.75">
      <c r="F604" s="85"/>
      <c r="G604" s="85"/>
      <c r="H604" s="85"/>
      <c r="I604" s="85"/>
      <c r="J604" s="85"/>
      <c r="K604" s="85"/>
      <c r="L604" s="85"/>
      <c r="M604" s="85"/>
    </row>
    <row r="605" spans="6:13" ht="12.75">
      <c r="F605" s="85"/>
      <c r="G605" s="85"/>
      <c r="H605" s="85"/>
      <c r="I605" s="85"/>
      <c r="J605" s="85"/>
      <c r="K605" s="85"/>
      <c r="L605" s="85"/>
      <c r="M605" s="85"/>
    </row>
    <row r="606" spans="6:13" ht="12.75">
      <c r="F606" s="85"/>
      <c r="G606" s="85"/>
      <c r="H606" s="85"/>
      <c r="I606" s="85"/>
      <c r="J606" s="85"/>
      <c r="K606" s="85"/>
      <c r="L606" s="85"/>
      <c r="M606" s="85"/>
    </row>
    <row r="607" spans="6:13" ht="12.75">
      <c r="F607" s="85"/>
      <c r="G607" s="85"/>
      <c r="H607" s="85"/>
      <c r="I607" s="85"/>
      <c r="J607" s="85"/>
      <c r="K607" s="85"/>
      <c r="L607" s="85"/>
      <c r="M607" s="85"/>
    </row>
    <row r="608" spans="6:13" ht="12.75">
      <c r="F608" s="85"/>
      <c r="G608" s="85"/>
      <c r="H608" s="85"/>
      <c r="I608" s="85"/>
      <c r="J608" s="85"/>
      <c r="K608" s="85"/>
      <c r="L608" s="85"/>
      <c r="M608" s="85"/>
    </row>
    <row r="609" spans="6:13" ht="12.75">
      <c r="F609" s="85"/>
      <c r="G609" s="85"/>
      <c r="H609" s="85"/>
      <c r="I609" s="85"/>
      <c r="J609" s="85"/>
      <c r="K609" s="85"/>
      <c r="L609" s="85"/>
      <c r="M609" s="85"/>
    </row>
    <row r="610" spans="6:13" ht="12.75">
      <c r="F610" s="85"/>
      <c r="G610" s="85"/>
      <c r="H610" s="85"/>
      <c r="I610" s="85"/>
      <c r="J610" s="85"/>
      <c r="K610" s="85"/>
      <c r="L610" s="85"/>
      <c r="M610" s="85"/>
    </row>
    <row r="611" spans="6:13" ht="12.75">
      <c r="F611" s="85"/>
      <c r="G611" s="85"/>
      <c r="H611" s="85"/>
      <c r="I611" s="85"/>
      <c r="J611" s="85"/>
      <c r="K611" s="85"/>
      <c r="L611" s="85"/>
      <c r="M611" s="85"/>
    </row>
    <row r="612" spans="6:13" ht="12.75">
      <c r="F612" s="85"/>
      <c r="G612" s="85"/>
      <c r="H612" s="85"/>
      <c r="I612" s="85"/>
      <c r="J612" s="85"/>
      <c r="K612" s="85"/>
      <c r="L612" s="85"/>
      <c r="M612" s="85"/>
    </row>
    <row r="613" spans="6:13" ht="12.75">
      <c r="F613" s="85"/>
      <c r="G613" s="85"/>
      <c r="H613" s="85"/>
      <c r="I613" s="85"/>
      <c r="J613" s="85"/>
      <c r="K613" s="85"/>
      <c r="L613" s="85"/>
      <c r="M613" s="85"/>
    </row>
    <row r="614" spans="6:13" ht="12.75">
      <c r="F614" s="85"/>
      <c r="G614" s="85"/>
      <c r="H614" s="85"/>
      <c r="I614" s="85"/>
      <c r="J614" s="85"/>
      <c r="K614" s="85"/>
      <c r="L614" s="85"/>
      <c r="M614" s="85"/>
    </row>
    <row r="615" spans="6:13" ht="12.75">
      <c r="F615" s="85"/>
      <c r="G615" s="85"/>
      <c r="H615" s="85"/>
      <c r="I615" s="85"/>
      <c r="J615" s="85"/>
      <c r="K615" s="85"/>
      <c r="L615" s="85"/>
      <c r="M615" s="85"/>
    </row>
    <row r="616" spans="6:13" ht="12.75">
      <c r="F616" s="85"/>
      <c r="G616" s="85"/>
      <c r="H616" s="85"/>
      <c r="I616" s="85"/>
      <c r="J616" s="85"/>
      <c r="K616" s="85"/>
      <c r="L616" s="85"/>
      <c r="M616" s="85"/>
    </row>
    <row r="617" spans="6:13" ht="12.75">
      <c r="F617" s="85"/>
      <c r="G617" s="85"/>
      <c r="H617" s="85"/>
      <c r="I617" s="85"/>
      <c r="J617" s="85"/>
      <c r="K617" s="85"/>
      <c r="L617" s="85"/>
      <c r="M617" s="85"/>
    </row>
    <row r="618" spans="6:13" ht="12.75">
      <c r="F618" s="85"/>
      <c r="G618" s="85"/>
      <c r="H618" s="85"/>
      <c r="I618" s="85"/>
      <c r="J618" s="85"/>
      <c r="K618" s="85"/>
      <c r="L618" s="85"/>
      <c r="M618" s="85"/>
    </row>
    <row r="619" spans="6:13" ht="12.75">
      <c r="F619" s="85"/>
      <c r="G619" s="85"/>
      <c r="H619" s="85"/>
      <c r="I619" s="85"/>
      <c r="J619" s="85"/>
      <c r="K619" s="85"/>
      <c r="L619" s="85"/>
      <c r="M619" s="85"/>
    </row>
    <row r="620" spans="6:13" ht="12.75">
      <c r="F620" s="85"/>
      <c r="G620" s="85"/>
      <c r="H620" s="85"/>
      <c r="I620" s="85"/>
      <c r="J620" s="85"/>
      <c r="K620" s="85"/>
      <c r="L620" s="85"/>
      <c r="M620" s="85"/>
    </row>
    <row r="621" spans="6:13" ht="12.75">
      <c r="F621" s="85"/>
      <c r="G621" s="85"/>
      <c r="H621" s="85"/>
      <c r="I621" s="85"/>
      <c r="J621" s="85"/>
      <c r="K621" s="85"/>
      <c r="L621" s="85"/>
      <c r="M621" s="85"/>
    </row>
    <row r="622" spans="6:13" ht="12.75">
      <c r="F622" s="85"/>
      <c r="G622" s="85"/>
      <c r="H622" s="85"/>
      <c r="I622" s="85"/>
      <c r="J622" s="85"/>
      <c r="K622" s="85"/>
      <c r="L622" s="85"/>
      <c r="M622" s="85"/>
    </row>
    <row r="623" spans="6:13" ht="12.75">
      <c r="F623" s="85"/>
      <c r="G623" s="85"/>
      <c r="H623" s="85"/>
      <c r="I623" s="85"/>
      <c r="J623" s="85"/>
      <c r="K623" s="85"/>
      <c r="L623" s="85"/>
      <c r="M623" s="85"/>
    </row>
    <row r="624" spans="6:13" ht="12.75">
      <c r="F624" s="85"/>
      <c r="G624" s="85"/>
      <c r="H624" s="85"/>
      <c r="I624" s="85"/>
      <c r="J624" s="85"/>
      <c r="K624" s="85"/>
      <c r="L624" s="85"/>
      <c r="M624" s="85"/>
    </row>
    <row r="625" spans="6:13" ht="12.75">
      <c r="F625" s="85"/>
      <c r="G625" s="85"/>
      <c r="H625" s="85"/>
      <c r="I625" s="85"/>
      <c r="J625" s="85"/>
      <c r="K625" s="85"/>
      <c r="L625" s="85"/>
      <c r="M625" s="85"/>
    </row>
    <row r="626" spans="6:13" ht="12.75">
      <c r="F626" s="85"/>
      <c r="G626" s="85"/>
      <c r="H626" s="85"/>
      <c r="I626" s="85"/>
      <c r="J626" s="85"/>
      <c r="K626" s="85"/>
      <c r="L626" s="85"/>
      <c r="M626" s="85"/>
    </row>
    <row r="627" spans="6:13" ht="12.75">
      <c r="F627" s="85"/>
      <c r="G627" s="85"/>
      <c r="H627" s="85"/>
      <c r="I627" s="85"/>
      <c r="J627" s="85"/>
      <c r="K627" s="85"/>
      <c r="L627" s="85"/>
      <c r="M627" s="85"/>
    </row>
    <row r="628" spans="6:13" ht="12.75">
      <c r="F628" s="85"/>
      <c r="G628" s="85"/>
      <c r="H628" s="85"/>
      <c r="I628" s="85"/>
      <c r="J628" s="85"/>
      <c r="K628" s="85"/>
      <c r="L628" s="85"/>
      <c r="M628" s="85"/>
    </row>
    <row r="629" spans="6:13" ht="12.75">
      <c r="F629" s="85"/>
      <c r="G629" s="85"/>
      <c r="H629" s="85"/>
      <c r="I629" s="85"/>
      <c r="J629" s="85"/>
      <c r="K629" s="85"/>
      <c r="L629" s="85"/>
      <c r="M629" s="85"/>
    </row>
    <row r="630" spans="6:13" ht="12.75">
      <c r="F630" s="85"/>
      <c r="G630" s="85"/>
      <c r="H630" s="85"/>
      <c r="I630" s="85"/>
      <c r="J630" s="85"/>
      <c r="K630" s="85"/>
      <c r="L630" s="85"/>
      <c r="M630" s="85"/>
    </row>
    <row r="631" spans="6:13" ht="12.75">
      <c r="F631" s="85"/>
      <c r="G631" s="85"/>
      <c r="H631" s="85"/>
      <c r="I631" s="85"/>
      <c r="J631" s="85"/>
      <c r="K631" s="85"/>
      <c r="L631" s="85"/>
      <c r="M631" s="85"/>
    </row>
    <row r="632" spans="6:13" ht="12.75">
      <c r="F632" s="85"/>
      <c r="G632" s="85"/>
      <c r="H632" s="85"/>
      <c r="I632" s="85"/>
      <c r="J632" s="85"/>
      <c r="K632" s="85"/>
      <c r="L632" s="85"/>
      <c r="M632" s="85"/>
    </row>
    <row r="633" spans="6:13" ht="12.75">
      <c r="F633" s="85"/>
      <c r="G633" s="85"/>
      <c r="H633" s="85"/>
      <c r="I633" s="85"/>
      <c r="J633" s="85"/>
      <c r="K633" s="85"/>
      <c r="L633" s="85"/>
      <c r="M633" s="85"/>
    </row>
    <row r="634" spans="6:13" ht="12.75">
      <c r="F634" s="85"/>
      <c r="G634" s="85"/>
      <c r="H634" s="85"/>
      <c r="I634" s="85"/>
      <c r="J634" s="85"/>
      <c r="K634" s="85"/>
      <c r="L634" s="85"/>
      <c r="M634" s="85"/>
    </row>
    <row r="635" spans="6:13" ht="12.75">
      <c r="F635" s="85"/>
      <c r="G635" s="85"/>
      <c r="H635" s="85"/>
      <c r="I635" s="85"/>
      <c r="J635" s="85"/>
      <c r="K635" s="85"/>
      <c r="L635" s="85"/>
      <c r="M635" s="85"/>
    </row>
    <row r="636" spans="6:13" ht="12.75">
      <c r="F636" s="85"/>
      <c r="G636" s="85"/>
      <c r="H636" s="85"/>
      <c r="I636" s="85"/>
      <c r="J636" s="85"/>
      <c r="K636" s="85"/>
      <c r="L636" s="85"/>
      <c r="M636" s="85"/>
    </row>
    <row r="637" spans="6:13" ht="12.75">
      <c r="F637" s="85"/>
      <c r="G637" s="85"/>
      <c r="H637" s="85"/>
      <c r="I637" s="85"/>
      <c r="J637" s="85"/>
      <c r="K637" s="85"/>
      <c r="L637" s="85"/>
      <c r="M637" s="85"/>
    </row>
    <row r="638" spans="6:13" ht="12.75">
      <c r="F638" s="85"/>
      <c r="G638" s="85"/>
      <c r="H638" s="85"/>
      <c r="I638" s="85"/>
      <c r="J638" s="85"/>
      <c r="K638" s="85"/>
      <c r="L638" s="85"/>
      <c r="M638" s="85"/>
    </row>
    <row r="639" spans="6:13" ht="12.75">
      <c r="F639" s="85"/>
      <c r="G639" s="85"/>
      <c r="H639" s="85"/>
      <c r="I639" s="85"/>
      <c r="J639" s="85"/>
      <c r="K639" s="85"/>
      <c r="L639" s="85"/>
      <c r="M639" s="85"/>
    </row>
    <row r="640" spans="6:13" ht="12.75">
      <c r="F640" s="85"/>
      <c r="G640" s="85"/>
      <c r="H640" s="85"/>
      <c r="I640" s="85"/>
      <c r="J640" s="85"/>
      <c r="K640" s="85"/>
      <c r="L640" s="85"/>
      <c r="M640" s="85"/>
    </row>
    <row r="641" spans="6:13" ht="12.75">
      <c r="F641" s="85"/>
      <c r="G641" s="85"/>
      <c r="H641" s="85"/>
      <c r="I641" s="85"/>
      <c r="J641" s="85"/>
      <c r="K641" s="85"/>
      <c r="L641" s="85"/>
      <c r="M641" s="85"/>
    </row>
    <row r="642" spans="6:13" ht="12.75">
      <c r="F642" s="85"/>
      <c r="G642" s="85"/>
      <c r="H642" s="85"/>
      <c r="I642" s="85"/>
      <c r="J642" s="85"/>
      <c r="K642" s="85"/>
      <c r="L642" s="85"/>
      <c r="M642" s="85"/>
    </row>
    <row r="643" spans="6:13" ht="12.75">
      <c r="F643" s="85"/>
      <c r="G643" s="85"/>
      <c r="H643" s="85"/>
      <c r="I643" s="85"/>
      <c r="J643" s="85"/>
      <c r="K643" s="85"/>
      <c r="L643" s="85"/>
      <c r="M643" s="85"/>
    </row>
    <row r="644" spans="6:13" ht="12.75">
      <c r="F644" s="85"/>
      <c r="G644" s="85"/>
      <c r="H644" s="85"/>
      <c r="I644" s="85"/>
      <c r="J644" s="85"/>
      <c r="K644" s="85"/>
      <c r="L644" s="85"/>
      <c r="M644" s="85"/>
    </row>
    <row r="645" spans="6:13" ht="12.75">
      <c r="F645" s="85"/>
      <c r="G645" s="85"/>
      <c r="H645" s="85"/>
      <c r="I645" s="85"/>
      <c r="J645" s="85"/>
      <c r="K645" s="85"/>
      <c r="L645" s="85"/>
      <c r="M645" s="85"/>
    </row>
    <row r="646" spans="6:13" ht="12.75">
      <c r="F646" s="85"/>
      <c r="G646" s="85"/>
      <c r="H646" s="85"/>
      <c r="I646" s="85"/>
      <c r="J646" s="85"/>
      <c r="K646" s="85"/>
      <c r="L646" s="85"/>
      <c r="M646" s="85"/>
    </row>
    <row r="647" spans="6:13" ht="12.75">
      <c r="F647" s="85"/>
      <c r="G647" s="85"/>
      <c r="H647" s="85"/>
      <c r="I647" s="85"/>
      <c r="J647" s="85"/>
      <c r="K647" s="85"/>
      <c r="L647" s="85"/>
      <c r="M647" s="85"/>
    </row>
    <row r="648" spans="6:13" ht="12.75">
      <c r="F648" s="85"/>
      <c r="G648" s="85"/>
      <c r="H648" s="85"/>
      <c r="I648" s="85"/>
      <c r="J648" s="85"/>
      <c r="K648" s="85"/>
      <c r="L648" s="85"/>
      <c r="M648" s="85"/>
    </row>
    <row r="649" spans="6:13" ht="12.75">
      <c r="F649" s="85"/>
      <c r="G649" s="85"/>
      <c r="H649" s="85"/>
      <c r="I649" s="85"/>
      <c r="J649" s="85"/>
      <c r="K649" s="85"/>
      <c r="L649" s="85"/>
      <c r="M649" s="85"/>
    </row>
    <row r="650" spans="6:13" ht="12.75">
      <c r="F650" s="85"/>
      <c r="G650" s="85"/>
      <c r="H650" s="85"/>
      <c r="I650" s="85"/>
      <c r="J650" s="85"/>
      <c r="K650" s="85"/>
      <c r="L650" s="85"/>
      <c r="M650" s="85"/>
    </row>
    <row r="651" spans="6:13" ht="12.75">
      <c r="F651" s="85"/>
      <c r="G651" s="85"/>
      <c r="H651" s="85"/>
      <c r="I651" s="85"/>
      <c r="J651" s="85"/>
      <c r="K651" s="85"/>
      <c r="L651" s="85"/>
      <c r="M651" s="85"/>
    </row>
    <row r="652" spans="6:13" ht="12.75">
      <c r="F652" s="85"/>
      <c r="G652" s="85"/>
      <c r="H652" s="85"/>
      <c r="I652" s="85"/>
      <c r="J652" s="85"/>
      <c r="K652" s="85"/>
      <c r="L652" s="85"/>
      <c r="M652" s="85"/>
    </row>
    <row r="653" spans="6:13" ht="12.75">
      <c r="F653" s="85"/>
      <c r="G653" s="85"/>
      <c r="H653" s="85"/>
      <c r="I653" s="85"/>
      <c r="J653" s="85"/>
      <c r="K653" s="85"/>
      <c r="L653" s="85"/>
      <c r="M653" s="85"/>
    </row>
    <row r="654" spans="6:13" ht="12.75">
      <c r="F654" s="85"/>
      <c r="G654" s="85"/>
      <c r="H654" s="85"/>
      <c r="I654" s="85"/>
      <c r="J654" s="85"/>
      <c r="K654" s="85"/>
      <c r="L654" s="85"/>
      <c r="M654" s="85"/>
    </row>
    <row r="655" spans="6:13" ht="12.75">
      <c r="F655" s="85"/>
      <c r="G655" s="85"/>
      <c r="H655" s="85"/>
      <c r="I655" s="85"/>
      <c r="J655" s="85"/>
      <c r="K655" s="85"/>
      <c r="L655" s="85"/>
      <c r="M655" s="85"/>
    </row>
    <row r="656" spans="6:13" ht="12.75">
      <c r="F656" s="85"/>
      <c r="G656" s="85"/>
      <c r="H656" s="85"/>
      <c r="I656" s="85"/>
      <c r="J656" s="85"/>
      <c r="K656" s="85"/>
      <c r="L656" s="85"/>
      <c r="M656" s="85"/>
    </row>
    <row r="657" spans="6:13" ht="12.75">
      <c r="F657" s="85"/>
      <c r="G657" s="85"/>
      <c r="H657" s="85"/>
      <c r="I657" s="85"/>
      <c r="J657" s="85"/>
      <c r="K657" s="85"/>
      <c r="L657" s="85"/>
      <c r="M657" s="85"/>
    </row>
    <row r="658" spans="6:13" ht="12.75">
      <c r="F658" s="85"/>
      <c r="G658" s="85"/>
      <c r="H658" s="85"/>
      <c r="I658" s="85"/>
      <c r="J658" s="85"/>
      <c r="K658" s="85"/>
      <c r="L658" s="85"/>
      <c r="M658" s="85"/>
    </row>
    <row r="659" spans="6:13" ht="12.75">
      <c r="F659" s="85"/>
      <c r="G659" s="85"/>
      <c r="H659" s="85"/>
      <c r="I659" s="85"/>
      <c r="J659" s="85"/>
      <c r="K659" s="85"/>
      <c r="L659" s="85"/>
      <c r="M659" s="85"/>
    </row>
    <row r="660" spans="6:13" ht="12.75">
      <c r="F660" s="85"/>
      <c r="G660" s="85"/>
      <c r="H660" s="85"/>
      <c r="I660" s="85"/>
      <c r="J660" s="85"/>
      <c r="K660" s="85"/>
      <c r="L660" s="85"/>
      <c r="M660" s="85"/>
    </row>
    <row r="661" spans="6:13" ht="12.75">
      <c r="F661" s="85"/>
      <c r="G661" s="85"/>
      <c r="H661" s="85"/>
      <c r="I661" s="85"/>
      <c r="J661" s="85"/>
      <c r="K661" s="85"/>
      <c r="L661" s="85"/>
      <c r="M661" s="85"/>
    </row>
    <row r="662" spans="6:13" ht="12.75">
      <c r="F662" s="85"/>
      <c r="G662" s="85"/>
      <c r="H662" s="85"/>
      <c r="I662" s="85"/>
      <c r="J662" s="85"/>
      <c r="K662" s="85"/>
      <c r="L662" s="85"/>
      <c r="M662" s="85"/>
    </row>
    <row r="663" spans="6:13" ht="12.75">
      <c r="F663" s="85"/>
      <c r="G663" s="85"/>
      <c r="H663" s="85"/>
      <c r="I663" s="85"/>
      <c r="J663" s="85"/>
      <c r="K663" s="85"/>
      <c r="L663" s="85"/>
      <c r="M663" s="85"/>
    </row>
    <row r="664" spans="6:13" ht="12.75">
      <c r="F664" s="85"/>
      <c r="G664" s="85"/>
      <c r="H664" s="85"/>
      <c r="I664" s="85"/>
      <c r="J664" s="85"/>
      <c r="K664" s="85"/>
      <c r="L664" s="85"/>
      <c r="M664" s="85"/>
    </row>
    <row r="665" spans="6:13" ht="12.75">
      <c r="F665" s="85"/>
      <c r="G665" s="85"/>
      <c r="H665" s="85"/>
      <c r="I665" s="85"/>
      <c r="J665" s="85"/>
      <c r="K665" s="85"/>
      <c r="L665" s="85"/>
      <c r="M665" s="85"/>
    </row>
    <row r="666" spans="6:13" ht="12.75">
      <c r="F666" s="85"/>
      <c r="G666" s="85"/>
      <c r="H666" s="85"/>
      <c r="I666" s="85"/>
      <c r="J666" s="85"/>
      <c r="K666" s="85"/>
      <c r="L666" s="85"/>
      <c r="M666" s="85"/>
    </row>
    <row r="667" spans="6:13" ht="12.75">
      <c r="F667" s="85"/>
      <c r="G667" s="85"/>
      <c r="H667" s="85"/>
      <c r="I667" s="85"/>
      <c r="J667" s="85"/>
      <c r="K667" s="85"/>
      <c r="L667" s="85"/>
      <c r="M667" s="85"/>
    </row>
    <row r="668" spans="6:13" ht="12.75">
      <c r="F668" s="85"/>
      <c r="G668" s="85"/>
      <c r="H668" s="85"/>
      <c r="I668" s="85"/>
      <c r="J668" s="85"/>
      <c r="K668" s="85"/>
      <c r="L668" s="85"/>
      <c r="M668" s="85"/>
    </row>
    <row r="669" spans="6:13" ht="12.75">
      <c r="F669" s="85"/>
      <c r="G669" s="85"/>
      <c r="H669" s="85"/>
      <c r="I669" s="85"/>
      <c r="J669" s="85"/>
      <c r="K669" s="85"/>
      <c r="L669" s="85"/>
      <c r="M669" s="85"/>
    </row>
    <row r="670" spans="6:13" ht="12.75">
      <c r="F670" s="85"/>
      <c r="G670" s="85"/>
      <c r="H670" s="85"/>
      <c r="I670" s="85"/>
      <c r="J670" s="85"/>
      <c r="K670" s="85"/>
      <c r="L670" s="85"/>
      <c r="M670" s="85"/>
    </row>
    <row r="671" spans="6:13" ht="12.75">
      <c r="F671" s="85"/>
      <c r="G671" s="85"/>
      <c r="H671" s="85"/>
      <c r="I671" s="85"/>
      <c r="J671" s="85"/>
      <c r="K671" s="85"/>
      <c r="L671" s="85"/>
      <c r="M671" s="85"/>
    </row>
    <row r="672" spans="6:13" ht="12.75">
      <c r="F672" s="85"/>
      <c r="G672" s="85"/>
      <c r="H672" s="85"/>
      <c r="I672" s="85"/>
      <c r="J672" s="85"/>
      <c r="K672" s="85"/>
      <c r="L672" s="85"/>
      <c r="M672" s="85"/>
    </row>
    <row r="673" spans="6:13" ht="12.75">
      <c r="F673" s="85"/>
      <c r="G673" s="85"/>
      <c r="H673" s="85"/>
      <c r="I673" s="85"/>
      <c r="J673" s="85"/>
      <c r="K673" s="85"/>
      <c r="L673" s="85"/>
      <c r="M673" s="85"/>
    </row>
    <row r="674" spans="6:13" ht="12.75">
      <c r="F674" s="85"/>
      <c r="G674" s="85"/>
      <c r="H674" s="85"/>
      <c r="I674" s="85"/>
      <c r="J674" s="85"/>
      <c r="K674" s="85"/>
      <c r="L674" s="85"/>
      <c r="M674" s="85"/>
    </row>
    <row r="675" spans="6:13" ht="12.75">
      <c r="F675" s="85"/>
      <c r="G675" s="85"/>
      <c r="H675" s="85"/>
      <c r="I675" s="85"/>
      <c r="J675" s="85"/>
      <c r="K675" s="85"/>
      <c r="L675" s="85"/>
      <c r="M675" s="85"/>
    </row>
    <row r="676" spans="6:13" ht="12.75">
      <c r="F676" s="85"/>
      <c r="G676" s="85"/>
      <c r="H676" s="85"/>
      <c r="I676" s="85"/>
      <c r="J676" s="85"/>
      <c r="K676" s="85"/>
      <c r="L676" s="85"/>
      <c r="M676" s="85"/>
    </row>
    <row r="677" spans="6:13" ht="12.75">
      <c r="F677" s="85"/>
      <c r="G677" s="85"/>
      <c r="H677" s="85"/>
      <c r="I677" s="85"/>
      <c r="J677" s="85"/>
      <c r="K677" s="85"/>
      <c r="L677" s="85"/>
      <c r="M677" s="85"/>
    </row>
    <row r="678" spans="6:13" ht="12.75">
      <c r="F678" s="85"/>
      <c r="G678" s="85"/>
      <c r="H678" s="85"/>
      <c r="I678" s="85"/>
      <c r="J678" s="85"/>
      <c r="K678" s="85"/>
      <c r="L678" s="85"/>
      <c r="M678" s="85"/>
    </row>
    <row r="679" spans="6:13" ht="12.75">
      <c r="F679" s="85"/>
      <c r="G679" s="85"/>
      <c r="H679" s="85"/>
      <c r="I679" s="85"/>
      <c r="J679" s="85"/>
      <c r="K679" s="85"/>
      <c r="L679" s="85"/>
      <c r="M679" s="85"/>
    </row>
    <row r="680" spans="6:13" ht="12.75">
      <c r="F680" s="85"/>
      <c r="G680" s="85"/>
      <c r="H680" s="85"/>
      <c r="I680" s="85"/>
      <c r="J680" s="85"/>
      <c r="K680" s="85"/>
      <c r="L680" s="85"/>
      <c r="M680" s="85"/>
    </row>
    <row r="681" spans="6:13" ht="12.75">
      <c r="F681" s="85"/>
      <c r="G681" s="85"/>
      <c r="H681" s="85"/>
      <c r="I681" s="85"/>
      <c r="J681" s="85"/>
      <c r="K681" s="85"/>
      <c r="L681" s="85"/>
      <c r="M681" s="85"/>
    </row>
    <row r="682" spans="6:13" ht="12.75">
      <c r="F682" s="85"/>
      <c r="G682" s="85"/>
      <c r="H682" s="85"/>
      <c r="I682" s="85"/>
      <c r="J682" s="85"/>
      <c r="K682" s="85"/>
      <c r="L682" s="85"/>
      <c r="M682" s="85"/>
    </row>
    <row r="683" spans="6:13" ht="12.75">
      <c r="F683" s="85"/>
      <c r="G683" s="85"/>
      <c r="H683" s="85"/>
      <c r="I683" s="85"/>
      <c r="J683" s="85"/>
      <c r="K683" s="85"/>
      <c r="L683" s="85"/>
      <c r="M683" s="85"/>
    </row>
    <row r="684" spans="6:13" ht="12.75">
      <c r="F684" s="85"/>
      <c r="G684" s="85"/>
      <c r="H684" s="85"/>
      <c r="I684" s="85"/>
      <c r="J684" s="85"/>
      <c r="K684" s="85"/>
      <c r="L684" s="85"/>
      <c r="M684" s="85"/>
    </row>
    <row r="685" spans="6:13" ht="12.75">
      <c r="F685" s="85"/>
      <c r="G685" s="85"/>
      <c r="H685" s="85"/>
      <c r="I685" s="85"/>
      <c r="J685" s="85"/>
      <c r="K685" s="85"/>
      <c r="L685" s="85"/>
      <c r="M685" s="85"/>
    </row>
    <row r="686" spans="6:13" ht="12.75">
      <c r="F686" s="85"/>
      <c r="G686" s="85"/>
      <c r="H686" s="85"/>
      <c r="I686" s="85"/>
      <c r="J686" s="85"/>
      <c r="K686" s="85"/>
      <c r="L686" s="85"/>
      <c r="M686" s="85"/>
    </row>
    <row r="687" spans="6:13" ht="12.75">
      <c r="F687" s="85"/>
      <c r="G687" s="85"/>
      <c r="H687" s="85"/>
      <c r="I687" s="85"/>
      <c r="J687" s="85"/>
      <c r="K687" s="85"/>
      <c r="L687" s="85"/>
      <c r="M687" s="85"/>
    </row>
    <row r="688" spans="6:13" ht="12.75">
      <c r="F688" s="85"/>
      <c r="G688" s="85"/>
      <c r="H688" s="85"/>
      <c r="I688" s="85"/>
      <c r="J688" s="85"/>
      <c r="K688" s="85"/>
      <c r="L688" s="85"/>
      <c r="M688" s="85"/>
    </row>
    <row r="689" spans="6:13" ht="12.75">
      <c r="F689" s="85"/>
      <c r="G689" s="85"/>
      <c r="H689" s="85"/>
      <c r="I689" s="85"/>
      <c r="J689" s="85"/>
      <c r="K689" s="85"/>
      <c r="L689" s="85"/>
      <c r="M689" s="85"/>
    </row>
    <row r="690" spans="6:13" ht="12.75">
      <c r="F690" s="85"/>
      <c r="G690" s="85"/>
      <c r="H690" s="85"/>
      <c r="I690" s="85"/>
      <c r="J690" s="85"/>
      <c r="K690" s="85"/>
      <c r="L690" s="85"/>
      <c r="M690" s="85"/>
    </row>
    <row r="691" spans="6:13" ht="12.75">
      <c r="F691" s="85"/>
      <c r="G691" s="85"/>
      <c r="H691" s="85"/>
      <c r="I691" s="85"/>
      <c r="J691" s="85"/>
      <c r="K691" s="85"/>
      <c r="L691" s="85"/>
      <c r="M691" s="85"/>
    </row>
    <row r="692" spans="6:13" ht="12.75">
      <c r="F692" s="85"/>
      <c r="G692" s="85"/>
      <c r="H692" s="85"/>
      <c r="I692" s="85"/>
      <c r="J692" s="85"/>
      <c r="K692" s="85"/>
      <c r="L692" s="85"/>
      <c r="M692" s="85"/>
    </row>
    <row r="693" spans="6:13" ht="12.75">
      <c r="F693" s="85"/>
      <c r="G693" s="85"/>
      <c r="H693" s="85"/>
      <c r="I693" s="85"/>
      <c r="J693" s="85"/>
      <c r="K693" s="85"/>
      <c r="L693" s="85"/>
      <c r="M693" s="85"/>
    </row>
    <row r="694" spans="6:13" ht="12.75">
      <c r="F694" s="85"/>
      <c r="G694" s="85"/>
      <c r="H694" s="85"/>
      <c r="I694" s="85"/>
      <c r="J694" s="85"/>
      <c r="K694" s="85"/>
      <c r="L694" s="85"/>
      <c r="M694" s="85"/>
    </row>
    <row r="695" spans="6:13" ht="12.75">
      <c r="F695" s="85"/>
      <c r="G695" s="85"/>
      <c r="H695" s="85"/>
      <c r="I695" s="85"/>
      <c r="J695" s="85"/>
      <c r="K695" s="85"/>
      <c r="L695" s="85"/>
      <c r="M695" s="85"/>
    </row>
    <row r="696" spans="6:13" ht="12.75">
      <c r="F696" s="85"/>
      <c r="G696" s="85"/>
      <c r="H696" s="85"/>
      <c r="I696" s="85"/>
      <c r="J696" s="85"/>
      <c r="K696" s="85"/>
      <c r="L696" s="85"/>
      <c r="M696" s="85"/>
    </row>
    <row r="697" spans="6:13" ht="12.75">
      <c r="F697" s="85"/>
      <c r="G697" s="85"/>
      <c r="H697" s="85"/>
      <c r="I697" s="85"/>
      <c r="J697" s="85"/>
      <c r="K697" s="85"/>
      <c r="L697" s="85"/>
      <c r="M697" s="85"/>
    </row>
    <row r="698" spans="6:13" ht="12.75">
      <c r="F698" s="85"/>
      <c r="G698" s="85"/>
      <c r="H698" s="85"/>
      <c r="I698" s="85"/>
      <c r="J698" s="85"/>
      <c r="K698" s="85"/>
      <c r="L698" s="85"/>
      <c r="M698" s="85"/>
    </row>
    <row r="699" spans="6:13" ht="12.75">
      <c r="F699" s="85"/>
      <c r="G699" s="85"/>
      <c r="H699" s="85"/>
      <c r="I699" s="85"/>
      <c r="J699" s="85"/>
      <c r="K699" s="85"/>
      <c r="L699" s="85"/>
      <c r="M699" s="85"/>
    </row>
    <row r="700" spans="6:13" ht="12.75">
      <c r="F700" s="85"/>
      <c r="G700" s="85"/>
      <c r="H700" s="85"/>
      <c r="I700" s="85"/>
      <c r="J700" s="85"/>
      <c r="K700" s="85"/>
      <c r="L700" s="85"/>
      <c r="M700" s="85"/>
    </row>
    <row r="701" spans="6:13" ht="12.75">
      <c r="F701" s="85"/>
      <c r="G701" s="85"/>
      <c r="H701" s="85"/>
      <c r="I701" s="85"/>
      <c r="J701" s="85"/>
      <c r="K701" s="85"/>
      <c r="L701" s="85"/>
      <c r="M701" s="85"/>
    </row>
    <row r="702" spans="6:13" ht="12.75">
      <c r="F702" s="85"/>
      <c r="G702" s="85"/>
      <c r="H702" s="85"/>
      <c r="I702" s="85"/>
      <c r="J702" s="85"/>
      <c r="K702" s="85"/>
      <c r="L702" s="85"/>
      <c r="M702" s="85"/>
    </row>
    <row r="703" spans="6:13" ht="12.75">
      <c r="F703" s="85"/>
      <c r="G703" s="85"/>
      <c r="H703" s="85"/>
      <c r="I703" s="85"/>
      <c r="J703" s="85"/>
      <c r="K703" s="85"/>
      <c r="L703" s="85"/>
      <c r="M703" s="85"/>
    </row>
    <row r="704" spans="6:13" ht="12.75">
      <c r="F704" s="85"/>
      <c r="G704" s="85"/>
      <c r="H704" s="85"/>
      <c r="I704" s="85"/>
      <c r="J704" s="85"/>
      <c r="K704" s="85"/>
      <c r="L704" s="85"/>
      <c r="M704" s="85"/>
    </row>
    <row r="705" spans="6:13" ht="12.75">
      <c r="F705" s="85"/>
      <c r="G705" s="85"/>
      <c r="H705" s="85"/>
      <c r="I705" s="85"/>
      <c r="J705" s="85"/>
      <c r="K705" s="85"/>
      <c r="L705" s="85"/>
      <c r="M705" s="85"/>
    </row>
    <row r="706" spans="6:13" ht="12.75">
      <c r="F706" s="85"/>
      <c r="H706" s="85"/>
      <c r="M706" s="85"/>
    </row>
    <row r="707" spans="6:13" ht="12.75">
      <c r="F707" s="85"/>
      <c r="H707" s="85"/>
      <c r="M707" s="85"/>
    </row>
    <row r="708" spans="6:13" ht="12.75">
      <c r="F708" s="85"/>
      <c r="M708" s="85"/>
    </row>
    <row r="709" spans="6:13" ht="12.75">
      <c r="F709" s="85"/>
      <c r="M709" s="85"/>
    </row>
  </sheetData>
  <mergeCells count="14">
    <mergeCell ref="G190:I190"/>
    <mergeCell ref="G172:I172"/>
    <mergeCell ref="G209:I209"/>
    <mergeCell ref="I2:N2"/>
    <mergeCell ref="B2:G2"/>
    <mergeCell ref="G3:I3"/>
    <mergeCell ref="G23:I23"/>
    <mergeCell ref="G61:I61"/>
    <mergeCell ref="G155:I155"/>
    <mergeCell ref="G135:I135"/>
    <mergeCell ref="G43:I43"/>
    <mergeCell ref="G115:I115"/>
    <mergeCell ref="G95:I95"/>
    <mergeCell ref="G78:I78"/>
  </mergeCells>
  <conditionalFormatting sqref="O20:O21 O40:O41">
    <cfRule type="cellIs" priority="1" dxfId="0" operator="equal" stopIfTrue="1">
      <formula>$O$18</formula>
    </cfRule>
  </conditionalFormatting>
  <printOptions horizontalCentered="1"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75"/>
  <sheetViews>
    <sheetView zoomScale="80" zoomScaleNormal="80" workbookViewId="0" topLeftCell="A1">
      <pane xSplit="1" ySplit="1" topLeftCell="AA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U56" sqref="AU56"/>
    </sheetView>
  </sheetViews>
  <sheetFormatPr defaultColWidth="9.140625" defaultRowHeight="12.75"/>
  <cols>
    <col min="1" max="1" width="12.7109375" style="0" bestFit="1" customWidth="1"/>
    <col min="2" max="23" width="8.00390625" style="0" bestFit="1" customWidth="1"/>
    <col min="24" max="24" width="8.140625" style="0" bestFit="1" customWidth="1"/>
    <col min="25" max="25" width="8.00390625" style="0" bestFit="1" customWidth="1"/>
    <col min="26" max="26" width="8.57421875" style="0" customWidth="1"/>
    <col min="27" max="31" width="8.7109375" style="0" bestFit="1" customWidth="1"/>
    <col min="32" max="32" width="9.28125" style="0" bestFit="1" customWidth="1"/>
    <col min="33" max="33" width="9.28125" style="0" customWidth="1"/>
    <col min="34" max="34" width="8.7109375" style="85" bestFit="1" customWidth="1"/>
    <col min="35" max="35" width="9.28125" style="85" bestFit="1" customWidth="1"/>
    <col min="36" max="36" width="9.28125" style="85" customWidth="1"/>
    <col min="37" max="37" width="9.28125" style="0" bestFit="1" customWidth="1"/>
    <col min="38" max="40" width="9.28125" style="0" customWidth="1"/>
    <col min="43" max="43" width="9.28125" style="0" bestFit="1" customWidth="1"/>
    <col min="44" max="46" width="9.28125" style="0" customWidth="1"/>
    <col min="47" max="47" width="9.28125" style="0" bestFit="1" customWidth="1"/>
  </cols>
  <sheetData>
    <row r="1" spans="2:47" s="122" customFormat="1" ht="12.75">
      <c r="B1" s="222">
        <v>36312</v>
      </c>
      <c r="C1" s="222">
        <v>36342</v>
      </c>
      <c r="D1" s="222">
        <v>36373</v>
      </c>
      <c r="E1" s="222">
        <v>36404</v>
      </c>
      <c r="F1" s="222">
        <v>36434</v>
      </c>
      <c r="G1" s="222">
        <v>36465</v>
      </c>
      <c r="H1" s="222">
        <v>36495</v>
      </c>
      <c r="I1" s="222">
        <v>36526</v>
      </c>
      <c r="J1" s="222">
        <v>36557</v>
      </c>
      <c r="K1" s="222">
        <v>36586</v>
      </c>
      <c r="L1" s="222">
        <v>36617</v>
      </c>
      <c r="M1" s="222">
        <v>36647</v>
      </c>
      <c r="N1" s="222">
        <v>36678</v>
      </c>
      <c r="O1" s="222">
        <v>36708</v>
      </c>
      <c r="P1" s="222">
        <v>36739</v>
      </c>
      <c r="Q1" s="222">
        <v>36770</v>
      </c>
      <c r="R1" s="222">
        <v>36800</v>
      </c>
      <c r="S1" s="222">
        <v>36831</v>
      </c>
      <c r="T1" s="222">
        <v>36861</v>
      </c>
      <c r="U1" s="222">
        <v>36892</v>
      </c>
      <c r="V1" s="222">
        <v>36923</v>
      </c>
      <c r="W1" s="222">
        <v>36951</v>
      </c>
      <c r="X1" s="222">
        <v>36982</v>
      </c>
      <c r="Y1" s="222">
        <v>37012</v>
      </c>
      <c r="Z1" s="222">
        <v>37043</v>
      </c>
      <c r="AA1" s="222">
        <v>37073</v>
      </c>
      <c r="AB1" s="222">
        <v>37104</v>
      </c>
      <c r="AC1" s="222">
        <v>37135</v>
      </c>
      <c r="AD1" s="222">
        <v>37165</v>
      </c>
      <c r="AE1" s="222">
        <v>37196</v>
      </c>
      <c r="AF1" s="222">
        <v>37226</v>
      </c>
      <c r="AG1" s="222">
        <v>37257</v>
      </c>
      <c r="AH1" s="230">
        <v>37288</v>
      </c>
      <c r="AI1" s="230">
        <v>37316</v>
      </c>
      <c r="AJ1" s="230">
        <v>37347</v>
      </c>
      <c r="AK1" s="230">
        <v>37377</v>
      </c>
      <c r="AL1" s="230">
        <v>37408</v>
      </c>
      <c r="AM1" s="230">
        <v>37438</v>
      </c>
      <c r="AN1" s="230">
        <v>37469</v>
      </c>
      <c r="AO1" s="230">
        <v>37500</v>
      </c>
      <c r="AP1" s="230">
        <v>37530</v>
      </c>
      <c r="AQ1" s="230">
        <v>37561</v>
      </c>
      <c r="AR1" s="230">
        <v>37591</v>
      </c>
      <c r="AS1" s="230">
        <v>37622</v>
      </c>
      <c r="AT1" s="230">
        <v>37653</v>
      </c>
      <c r="AU1" s="230">
        <v>37681</v>
      </c>
    </row>
    <row r="2" spans="1:47" ht="12.75">
      <c r="A2" t="s">
        <v>46</v>
      </c>
      <c r="B2" s="67">
        <v>800</v>
      </c>
      <c r="C2" s="67">
        <v>800.01</v>
      </c>
      <c r="D2" s="67">
        <v>1100.06</v>
      </c>
      <c r="E2" s="67">
        <v>898.35</v>
      </c>
      <c r="F2" s="67">
        <v>680.7</v>
      </c>
      <c r="G2" s="67">
        <v>462.78</v>
      </c>
      <c r="H2" s="67">
        <v>252.93</v>
      </c>
      <c r="I2" s="67">
        <v>1593.83</v>
      </c>
      <c r="J2" s="67">
        <v>1281.26</v>
      </c>
      <c r="K2" s="67">
        <v>1644.98</v>
      </c>
      <c r="L2" s="67">
        <v>1197.95</v>
      </c>
      <c r="M2" s="67">
        <v>103.44</v>
      </c>
      <c r="N2" s="68">
        <v>765.24</v>
      </c>
      <c r="O2" s="67">
        <v>272.04</v>
      </c>
      <c r="P2" s="67">
        <v>3092.16</v>
      </c>
      <c r="Q2" s="67">
        <v>1606.71</v>
      </c>
      <c r="R2" s="2">
        <v>1060.33</v>
      </c>
      <c r="S2" s="2">
        <v>2040.28</v>
      </c>
      <c r="T2" s="2">
        <v>604.44</v>
      </c>
      <c r="U2" s="2">
        <v>3147.48</v>
      </c>
      <c r="V2">
        <v>1122.46</v>
      </c>
      <c r="W2" s="2">
        <v>4377.65</v>
      </c>
      <c r="X2" s="2">
        <v>1697.41</v>
      </c>
      <c r="Y2" s="2">
        <v>2217.42</v>
      </c>
      <c r="Z2" s="2">
        <v>4651.11</v>
      </c>
      <c r="AA2" s="2">
        <v>5567.17</v>
      </c>
      <c r="AB2" s="2">
        <v>2488.07</v>
      </c>
      <c r="AC2" s="2">
        <v>3785.91</v>
      </c>
      <c r="AD2" s="83">
        <v>2857.17</v>
      </c>
      <c r="AE2" s="83">
        <v>2434.59</v>
      </c>
      <c r="AF2" s="83">
        <v>3983.82</v>
      </c>
      <c r="AG2" s="83">
        <v>5217.13</v>
      </c>
      <c r="AH2" s="83">
        <v>4413.48</v>
      </c>
      <c r="AI2" s="83">
        <v>743.7099999999994</v>
      </c>
      <c r="AJ2" s="83">
        <f>Assets!F19+Assets!F20+Assets!F21</f>
        <v>2380.34</v>
      </c>
      <c r="AK2" s="83">
        <f>Assets!F47+Assets!F48+Assets!F49</f>
        <v>3903.2799999999993</v>
      </c>
      <c r="AL2" s="83">
        <f>Assets!F76+Assets!F77+Assets!F78</f>
        <v>4092.4799999999996</v>
      </c>
      <c r="AM2" s="83">
        <f>Assets!F104+Assets!F105+Assets!F106</f>
        <v>5430.73</v>
      </c>
      <c r="AN2" s="83">
        <f>Assets!F131+Assets!F132+Assets!F133</f>
        <v>5864.71</v>
      </c>
      <c r="AO2" s="83">
        <f>Assets!F160+Assets!F161+Assets!F162-Assets!E166</f>
        <v>4829.16</v>
      </c>
      <c r="AP2" s="83">
        <f>Assets!F188+Assets!F189+Assets!F190-Assets!E194</f>
        <v>3664.859999999999</v>
      </c>
      <c r="AQ2" s="83">
        <f>Assets!F216+Assets!F217+Assets!F218-Assets!E222</f>
        <v>4050.2899999999995</v>
      </c>
      <c r="AR2" s="83">
        <f>Assets!F245+Assets!F246+Assets!F244-Assets!F252</f>
        <v>4157.2300000000005</v>
      </c>
      <c r="AS2" s="83">
        <f>Assets!F273+Assets!F274+Assets!F275-Assets!F282</f>
        <v>3521.81</v>
      </c>
      <c r="AT2" s="83">
        <f>Assets!F302+Assets!F303+Assets!F304</f>
        <v>4044.7299999999996</v>
      </c>
      <c r="AU2" s="83">
        <f>Assets!F328+Assets!F329+Assets!F330</f>
        <v>3567.98</v>
      </c>
    </row>
    <row r="3" spans="1:47" ht="12.75">
      <c r="A3" t="s">
        <v>32</v>
      </c>
      <c r="B3" s="67"/>
      <c r="C3" s="67"/>
      <c r="D3" s="67"/>
      <c r="E3" s="67">
        <v>475.02</v>
      </c>
      <c r="F3" s="67">
        <v>495.78</v>
      </c>
      <c r="G3" s="67">
        <v>595.1</v>
      </c>
      <c r="H3" s="67">
        <v>610.58</v>
      </c>
      <c r="I3" s="67">
        <v>679.23</v>
      </c>
      <c r="J3" s="67">
        <v>952.3</v>
      </c>
      <c r="K3" s="67">
        <v>765.06</v>
      </c>
      <c r="L3" s="67">
        <v>780.54</v>
      </c>
      <c r="M3" s="67">
        <v>981.82</v>
      </c>
      <c r="N3" s="67">
        <v>1107.62</v>
      </c>
      <c r="O3" s="67">
        <v>1157.94</v>
      </c>
      <c r="P3" s="67">
        <v>1246</v>
      </c>
      <c r="Q3" s="67">
        <v>1164.23</v>
      </c>
      <c r="R3" s="2">
        <v>1277.45</v>
      </c>
      <c r="AD3" s="85"/>
      <c r="AE3" s="85"/>
      <c r="AF3" s="85"/>
      <c r="AG3" s="85"/>
      <c r="AI3" s="83">
        <v>831.06</v>
      </c>
      <c r="AJ3" s="83">
        <f>Assets!F4</f>
        <v>874.74</v>
      </c>
      <c r="AK3" s="83">
        <f>Assets!F32</f>
        <v>761.18</v>
      </c>
      <c r="AL3" s="83">
        <f>Assets!F60</f>
        <v>569.01</v>
      </c>
      <c r="AM3" s="83">
        <f>Assets!F89</f>
        <v>516.6</v>
      </c>
      <c r="AN3" s="83">
        <f>Assets!F116</f>
        <v>516.6</v>
      </c>
      <c r="AO3" s="83">
        <f>Assets!F144</f>
        <v>411.78</v>
      </c>
      <c r="AP3" s="83">
        <f>Assets!F173</f>
        <v>551.54</v>
      </c>
      <c r="AQ3" s="83">
        <f>Assets!F201</f>
        <v>656.36</v>
      </c>
      <c r="AR3" s="83">
        <f>Assets!F229</f>
        <v>551.54</v>
      </c>
      <c r="AS3" s="83">
        <f>Assets!F257</f>
        <v>481.66</v>
      </c>
      <c r="AT3" s="83">
        <f>Assets!F287</f>
        <v>516.6</v>
      </c>
      <c r="AU3" s="83"/>
    </row>
    <row r="4" spans="1:47" ht="12.75">
      <c r="A4" t="s">
        <v>244</v>
      </c>
      <c r="B4" s="67"/>
      <c r="C4" s="67"/>
      <c r="D4" s="67"/>
      <c r="E4" s="67"/>
      <c r="F4" s="67">
        <v>504.8</v>
      </c>
      <c r="G4" s="67">
        <v>1054.85</v>
      </c>
      <c r="H4" s="67">
        <v>871.79</v>
      </c>
      <c r="I4" s="67">
        <v>758.54</v>
      </c>
      <c r="J4" s="67">
        <v>1299.53</v>
      </c>
      <c r="K4" s="67">
        <v>1014.37</v>
      </c>
      <c r="L4" s="67">
        <v>896.15</v>
      </c>
      <c r="M4" s="67">
        <v>830.4</v>
      </c>
      <c r="N4" s="67">
        <v>1181.4</v>
      </c>
      <c r="O4" s="67">
        <v>1099.5</v>
      </c>
      <c r="P4" s="67"/>
      <c r="Q4" s="67"/>
      <c r="AD4" s="85"/>
      <c r="AE4" s="85"/>
      <c r="AF4" s="85"/>
      <c r="AG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</row>
    <row r="5" spans="1:47" ht="12.75">
      <c r="A5" t="s">
        <v>45</v>
      </c>
      <c r="B5" s="67"/>
      <c r="C5" s="67"/>
      <c r="D5" s="67"/>
      <c r="E5" s="67"/>
      <c r="F5" s="67"/>
      <c r="G5" s="67">
        <v>731.84</v>
      </c>
      <c r="H5" s="67">
        <v>690.65</v>
      </c>
      <c r="I5" s="67">
        <v>539.86</v>
      </c>
      <c r="J5" s="67">
        <v>778.89</v>
      </c>
      <c r="K5" s="67">
        <v>653.2</v>
      </c>
      <c r="L5" s="67">
        <v>522.24</v>
      </c>
      <c r="M5" s="67">
        <v>632.4</v>
      </c>
      <c r="N5" s="67">
        <v>682.8</v>
      </c>
      <c r="O5" s="67">
        <v>610.8</v>
      </c>
      <c r="P5" s="67">
        <v>528.72</v>
      </c>
      <c r="Q5" s="67"/>
      <c r="AD5" s="85"/>
      <c r="AE5" s="85"/>
      <c r="AF5" s="85"/>
      <c r="AG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6" spans="1:47" ht="12.75">
      <c r="A6" t="str">
        <f>"Eckoch"</f>
        <v>Eckoch</v>
      </c>
      <c r="B6" s="67"/>
      <c r="C6" s="67"/>
      <c r="D6" s="67"/>
      <c r="E6" s="67"/>
      <c r="F6" s="67"/>
      <c r="G6" s="67"/>
      <c r="H6" s="67">
        <v>501.02</v>
      </c>
      <c r="I6" s="67">
        <v>478.08</v>
      </c>
      <c r="J6" s="67">
        <v>496.19</v>
      </c>
      <c r="K6" s="67">
        <v>503.43</v>
      </c>
      <c r="L6" s="67">
        <v>302.6</v>
      </c>
      <c r="M6" s="67">
        <v>203.38</v>
      </c>
      <c r="N6" s="67">
        <v>157.4</v>
      </c>
      <c r="O6" s="67">
        <v>142.88</v>
      </c>
      <c r="P6" s="67">
        <v>184.02</v>
      </c>
      <c r="Q6" s="67">
        <v>130.78</v>
      </c>
      <c r="R6" s="2">
        <v>121.1</v>
      </c>
      <c r="S6" s="2">
        <v>94.48</v>
      </c>
      <c r="T6" s="2">
        <v>55.76</v>
      </c>
      <c r="U6" s="2">
        <v>77.54</v>
      </c>
      <c r="V6" s="2">
        <v>63.02</v>
      </c>
      <c r="W6" s="2">
        <v>40.03</v>
      </c>
      <c r="X6" s="2">
        <v>27.93</v>
      </c>
      <c r="Y6" s="2">
        <v>27.93</v>
      </c>
      <c r="Z6" s="2">
        <v>15.83</v>
      </c>
      <c r="AA6" s="2">
        <v>20.67</v>
      </c>
      <c r="AB6" s="2">
        <v>20.67</v>
      </c>
      <c r="AC6" s="2">
        <v>9.78</v>
      </c>
      <c r="AD6" s="83">
        <v>7.36</v>
      </c>
      <c r="AE6" s="83">
        <v>7.36</v>
      </c>
      <c r="AF6" s="83">
        <v>1.31</v>
      </c>
      <c r="AG6" s="83">
        <v>-1.11</v>
      </c>
      <c r="AH6" s="83">
        <v>1.31</v>
      </c>
      <c r="AI6" s="83">
        <v>2.52</v>
      </c>
      <c r="AJ6" s="83">
        <f>Assets!F3</f>
        <v>2.5199999999999996</v>
      </c>
      <c r="AK6" s="83">
        <f>Assets!F34</f>
        <v>8.57</v>
      </c>
      <c r="AL6" s="83">
        <f>Assets!F62</f>
        <v>-1.1099999999999994</v>
      </c>
      <c r="AM6" s="83">
        <f>Assets!F91</f>
        <v>1.3100000000000005</v>
      </c>
      <c r="AN6" s="83">
        <f>Assets!F118</f>
        <v>3.7300000000000004</v>
      </c>
      <c r="AO6" s="83">
        <f>Assets!F147</f>
        <v>1.3100000000000005</v>
      </c>
      <c r="AP6" s="83">
        <f>Assets!F176</f>
        <v>4.940000000000001</v>
      </c>
      <c r="AQ6" s="83">
        <f>Assets!F204</f>
        <v>16.44</v>
      </c>
      <c r="AR6" s="83">
        <f>Assets!F232</f>
        <v>248</v>
      </c>
      <c r="AS6" s="83">
        <f>Assets!F260</f>
        <v>208</v>
      </c>
      <c r="AT6" s="83">
        <f>Assets!F290</f>
        <v>228</v>
      </c>
      <c r="AU6" s="83">
        <f>Assets!F317</f>
        <v>212.5</v>
      </c>
    </row>
    <row r="7" spans="1:47" ht="12.75">
      <c r="A7" t="s">
        <v>57</v>
      </c>
      <c r="B7" s="67"/>
      <c r="C7" s="67"/>
      <c r="D7" s="67"/>
      <c r="E7" s="67"/>
      <c r="F7" s="67"/>
      <c r="G7" s="67"/>
      <c r="H7" s="67"/>
      <c r="I7" s="67"/>
      <c r="J7" s="67">
        <v>357.22</v>
      </c>
      <c r="K7" s="67">
        <v>181</v>
      </c>
      <c r="L7" s="67">
        <v>177.2</v>
      </c>
      <c r="M7" s="67">
        <v>160</v>
      </c>
      <c r="N7" s="67">
        <v>204.72</v>
      </c>
      <c r="O7" s="67">
        <v>218.48</v>
      </c>
      <c r="P7" s="67">
        <v>228.8</v>
      </c>
      <c r="Q7" s="67">
        <v>228.8</v>
      </c>
      <c r="AD7" s="85"/>
      <c r="AE7" s="85"/>
      <c r="AF7" s="85"/>
      <c r="AG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</row>
    <row r="8" spans="1:47" ht="12.75">
      <c r="A8" t="s">
        <v>51</v>
      </c>
      <c r="B8" s="67"/>
      <c r="C8" s="67"/>
      <c r="D8" s="67"/>
      <c r="E8" s="67"/>
      <c r="F8" s="67"/>
      <c r="G8" s="67"/>
      <c r="H8" s="67"/>
      <c r="I8" s="67"/>
      <c r="J8" s="67">
        <v>538.65</v>
      </c>
      <c r="K8" s="67">
        <v>547.89</v>
      </c>
      <c r="L8" s="67">
        <v>450.47</v>
      </c>
      <c r="M8" s="67">
        <v>1059</v>
      </c>
      <c r="N8" s="67">
        <v>987.6</v>
      </c>
      <c r="O8" s="67">
        <v>961.25</v>
      </c>
      <c r="P8" s="67"/>
      <c r="Q8" s="67"/>
      <c r="AD8" s="85"/>
      <c r="AE8" s="85"/>
      <c r="AF8" s="85"/>
      <c r="AG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</row>
    <row r="9" spans="1:47" ht="12.75">
      <c r="A9" t="s">
        <v>55</v>
      </c>
      <c r="B9" s="67"/>
      <c r="C9" s="67"/>
      <c r="D9" s="67"/>
      <c r="E9" s="67"/>
      <c r="F9" s="67"/>
      <c r="G9" s="67"/>
      <c r="H9" s="67"/>
      <c r="I9" s="67"/>
      <c r="J9" s="67">
        <v>217.88</v>
      </c>
      <c r="K9" s="67">
        <v>268.26</v>
      </c>
      <c r="L9" s="67">
        <v>198.56</v>
      </c>
      <c r="M9" s="67">
        <v>211.72</v>
      </c>
      <c r="N9" s="67">
        <v>205.14</v>
      </c>
      <c r="O9" s="67">
        <v>191.98</v>
      </c>
      <c r="P9" s="67">
        <v>211.72</v>
      </c>
      <c r="Q9" s="67">
        <v>231.46</v>
      </c>
      <c r="R9" s="2">
        <v>211.72</v>
      </c>
      <c r="AD9" s="85"/>
      <c r="AE9" s="85"/>
      <c r="AF9" s="85"/>
      <c r="AG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</row>
    <row r="10" spans="1:47" ht="12.75">
      <c r="A10" t="s">
        <v>97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2">
        <v>850.1</v>
      </c>
      <c r="S10" s="2">
        <v>609.6</v>
      </c>
      <c r="T10" s="2">
        <v>561.5</v>
      </c>
      <c r="U10" s="2">
        <v>709.5</v>
      </c>
      <c r="AD10" s="85"/>
      <c r="AE10" s="85"/>
      <c r="AF10" s="85"/>
      <c r="AG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</row>
    <row r="11" spans="1:47" ht="12.75">
      <c r="A11" t="s">
        <v>60</v>
      </c>
      <c r="B11" s="67"/>
      <c r="C11" s="67"/>
      <c r="D11" s="67"/>
      <c r="E11" s="67"/>
      <c r="F11" s="67"/>
      <c r="G11" s="67"/>
      <c r="H11" s="67"/>
      <c r="I11" s="67"/>
      <c r="J11" s="67"/>
      <c r="K11" s="67">
        <v>473.28</v>
      </c>
      <c r="L11" s="67">
        <v>511.38</v>
      </c>
      <c r="M11" s="67">
        <v>511.64</v>
      </c>
      <c r="N11" s="67">
        <v>504.75</v>
      </c>
      <c r="O11" s="67">
        <v>468.71</v>
      </c>
      <c r="P11" s="67">
        <v>465.53</v>
      </c>
      <c r="Q11" s="67">
        <v>474.54</v>
      </c>
      <c r="R11" s="2">
        <v>479.31</v>
      </c>
      <c r="S11" s="2">
        <v>561.46</v>
      </c>
      <c r="T11" s="2">
        <v>555.63</v>
      </c>
      <c r="U11" s="2">
        <v>533.9</v>
      </c>
      <c r="V11" s="2">
        <v>478.78</v>
      </c>
      <c r="AD11" s="85"/>
      <c r="AE11" s="85"/>
      <c r="AF11" s="85"/>
      <c r="AG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</row>
    <row r="12" spans="1:47" ht="12.75">
      <c r="A12" t="s">
        <v>61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>
        <v>463.7</v>
      </c>
      <c r="M12" s="67">
        <v>430.55</v>
      </c>
      <c r="N12" s="67">
        <v>449.89</v>
      </c>
      <c r="O12" s="67">
        <v>473.65</v>
      </c>
      <c r="P12" s="67">
        <v>464.26</v>
      </c>
      <c r="Q12" s="67">
        <v>529.45</v>
      </c>
      <c r="R12" s="2">
        <v>568.68</v>
      </c>
      <c r="S12" s="2">
        <v>580.28</v>
      </c>
      <c r="T12" s="2">
        <v>1615.56</v>
      </c>
      <c r="U12" s="2">
        <v>1419.54</v>
      </c>
      <c r="V12" s="2">
        <v>1529.43</v>
      </c>
      <c r="W12" s="2">
        <v>1467.06</v>
      </c>
      <c r="X12" s="2">
        <v>1467.06</v>
      </c>
      <c r="Y12" s="2">
        <v>1456.67</v>
      </c>
      <c r="Z12" s="2">
        <v>1511.61</v>
      </c>
      <c r="AA12" s="2">
        <v>1471.52</v>
      </c>
      <c r="AB12" s="2">
        <v>1532.4</v>
      </c>
      <c r="AC12" s="2">
        <v>1380.93</v>
      </c>
      <c r="AD12" s="83">
        <v>1419.54</v>
      </c>
      <c r="AE12" s="83">
        <v>1419.54</v>
      </c>
      <c r="AF12" s="83">
        <v>1467.06</v>
      </c>
      <c r="AG12" s="83">
        <v>1377.96</v>
      </c>
      <c r="AH12" s="83">
        <v>1478.94</v>
      </c>
      <c r="AI12" s="83">
        <v>1413.6</v>
      </c>
      <c r="AJ12" s="83">
        <f>Assets!F14</f>
        <v>-6.74</v>
      </c>
      <c r="AK12" s="83">
        <f>Assets!F41</f>
        <v>-6.86</v>
      </c>
      <c r="AL12" s="83">
        <f>Assets!F70</f>
        <v>-7.13</v>
      </c>
      <c r="AM12" s="83">
        <f>Assets!F98</f>
        <v>-7.83</v>
      </c>
      <c r="AN12" s="83">
        <f>Assets!F125</f>
        <v>-7.77</v>
      </c>
      <c r="AO12" s="83">
        <f>Assets!F154</f>
        <v>-7.89</v>
      </c>
      <c r="AP12" s="83">
        <f>Assets!F182</f>
        <v>-8.04</v>
      </c>
      <c r="AQ12" s="83">
        <f>Assets!F210</f>
        <v>-7.96</v>
      </c>
      <c r="AR12" s="83">
        <f>Assets!F238</f>
        <v>-8.17</v>
      </c>
      <c r="AS12" s="83">
        <f>Assets!F267</f>
        <v>-8.71</v>
      </c>
      <c r="AT12" s="83">
        <f>Assets!F297</f>
        <v>-8.78</v>
      </c>
      <c r="AU12" s="83">
        <f>Assets!F322</f>
        <v>934.98</v>
      </c>
    </row>
    <row r="13" spans="1:47" ht="12.75">
      <c r="A13" t="s">
        <v>62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>
        <v>491.13</v>
      </c>
      <c r="M13" s="67">
        <v>518.72</v>
      </c>
      <c r="N13" s="67">
        <v>452.69</v>
      </c>
      <c r="O13" s="67">
        <v>456.1</v>
      </c>
      <c r="P13" s="67">
        <v>518.41</v>
      </c>
      <c r="Q13" s="67">
        <v>568.32</v>
      </c>
      <c r="R13" s="2">
        <v>598.08</v>
      </c>
      <c r="S13" s="2">
        <v>599.01</v>
      </c>
      <c r="T13" s="2">
        <v>637.45</v>
      </c>
      <c r="U13" s="2">
        <v>663.8</v>
      </c>
      <c r="V13" s="2">
        <v>651.71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</row>
    <row r="14" spans="1:47" ht="12.75">
      <c r="A14" t="s">
        <v>83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>
        <v>469.5</v>
      </c>
      <c r="N14" s="67">
        <v>435.3</v>
      </c>
      <c r="O14" s="67">
        <v>413.25</v>
      </c>
      <c r="P14" s="67">
        <v>404.7</v>
      </c>
      <c r="Q14" s="67">
        <v>333.6</v>
      </c>
      <c r="R14" s="2">
        <v>366.9</v>
      </c>
      <c r="S14" s="2">
        <v>416.4</v>
      </c>
      <c r="T14" s="2">
        <v>471.3</v>
      </c>
      <c r="U14" s="2">
        <v>399.48</v>
      </c>
      <c r="V14" s="2">
        <v>448.8</v>
      </c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</row>
    <row r="15" spans="1:47" ht="12.75">
      <c r="A15" t="s">
        <v>84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>
        <v>523.6</v>
      </c>
      <c r="N15" s="67">
        <v>482.4</v>
      </c>
      <c r="O15" s="67">
        <v>437.08</v>
      </c>
      <c r="P15" s="67"/>
      <c r="Q15" s="67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</row>
    <row r="16" spans="1:47" ht="12.75">
      <c r="A16" t="s">
        <v>95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>
        <v>447</v>
      </c>
      <c r="P16" s="67">
        <v>465.36</v>
      </c>
      <c r="Q16" s="67">
        <v>482.64</v>
      </c>
      <c r="R16" s="2">
        <v>436.2</v>
      </c>
      <c r="S16" s="2">
        <v>404.88</v>
      </c>
      <c r="T16" s="2">
        <v>409.2</v>
      </c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</row>
    <row r="17" spans="1:47" ht="12.75">
      <c r="A17" t="s">
        <v>94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>
        <v>548</v>
      </c>
      <c r="P17" s="67">
        <v>548</v>
      </c>
      <c r="Q17" s="67">
        <v>1645.5</v>
      </c>
      <c r="R17" s="2">
        <v>1794.25</v>
      </c>
      <c r="S17" s="2">
        <v>1467</v>
      </c>
      <c r="T17" s="2">
        <v>1624.25</v>
      </c>
      <c r="AD17" s="71"/>
      <c r="AE17" s="91">
        <v>1444</v>
      </c>
      <c r="AF17" s="91">
        <v>916.2</v>
      </c>
      <c r="AG17" s="91">
        <v>807</v>
      </c>
      <c r="AH17" s="91">
        <v>552.2</v>
      </c>
      <c r="AI17" s="91">
        <v>734.2</v>
      </c>
      <c r="AJ17" s="91">
        <f>Assets!F15</f>
        <v>825.2</v>
      </c>
      <c r="AK17" s="91">
        <f>Assets!F43</f>
        <v>716</v>
      </c>
      <c r="AL17" s="91">
        <f>Assets!F72</f>
        <v>497.6</v>
      </c>
      <c r="AM17" s="91">
        <f>Assets!F100</f>
        <v>406.6</v>
      </c>
      <c r="AN17" s="91">
        <f>Assets!F127</f>
        <v>352</v>
      </c>
      <c r="AO17" s="91">
        <f>Assets!F156</f>
        <v>261</v>
      </c>
      <c r="AP17" s="91">
        <f>Assets!F184</f>
        <v>170</v>
      </c>
      <c r="AQ17" s="91">
        <f>Assets!F212</f>
        <v>315.6</v>
      </c>
      <c r="AR17" s="91">
        <f>Assets!F240</f>
        <v>352</v>
      </c>
      <c r="AS17" s="91">
        <f>Assets!F269</f>
        <v>370.2</v>
      </c>
      <c r="AT17" s="91"/>
      <c r="AU17" s="91"/>
    </row>
    <row r="18" spans="1:47" ht="12.75">
      <c r="A18" t="s">
        <v>96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>
        <v>881.76</v>
      </c>
      <c r="R18" s="2">
        <v>881.76</v>
      </c>
      <c r="S18" s="2">
        <v>668.96</v>
      </c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</row>
    <row r="19" spans="1:47" ht="12.75">
      <c r="A19" t="s">
        <v>243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2"/>
      <c r="S19" s="2">
        <v>817.5</v>
      </c>
      <c r="T19" s="2">
        <v>936</v>
      </c>
      <c r="U19" s="2">
        <v>1362.6</v>
      </c>
      <c r="V19" s="2">
        <v>1125.6</v>
      </c>
      <c r="W19" s="2">
        <v>983.4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</row>
    <row r="20" spans="1:47" ht="12.75">
      <c r="A20" t="s">
        <v>100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2"/>
      <c r="S20" s="2"/>
      <c r="T20" s="2">
        <v>1061.55</v>
      </c>
      <c r="U20" s="2">
        <v>1009.7</v>
      </c>
      <c r="V20" s="2">
        <v>1048.8</v>
      </c>
      <c r="W20" s="2">
        <v>1053.9</v>
      </c>
      <c r="X20" s="2">
        <v>1034.35</v>
      </c>
      <c r="Y20" s="2">
        <v>984.2</v>
      </c>
      <c r="Z20" s="2">
        <v>1009.7</v>
      </c>
      <c r="AA20" s="2">
        <v>1118.5</v>
      </c>
      <c r="AB20" s="2">
        <v>1155.9</v>
      </c>
      <c r="AC20" s="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</row>
    <row r="21" spans="1:47" ht="12.75">
      <c r="A21" t="s">
        <v>102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2"/>
      <c r="S21" s="2"/>
      <c r="T21" s="2"/>
      <c r="U21" s="2"/>
      <c r="V21" s="2">
        <v>873.05</v>
      </c>
      <c r="W21" s="2">
        <v>890.18</v>
      </c>
      <c r="X21" s="2">
        <v>958.7</v>
      </c>
      <c r="Y21" s="2">
        <v>884.47</v>
      </c>
      <c r="Z21" s="2"/>
      <c r="AA21" s="2"/>
      <c r="AB21" s="2"/>
      <c r="AC21" s="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</row>
    <row r="22" spans="1:47" ht="12.75">
      <c r="A22" t="s">
        <v>103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2"/>
      <c r="S22" s="2"/>
      <c r="T22" s="2"/>
      <c r="U22" s="2"/>
      <c r="V22" s="2">
        <v>838.65</v>
      </c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</row>
    <row r="23" spans="1:47" ht="12.75">
      <c r="A23" t="s">
        <v>104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2"/>
      <c r="S23" s="2"/>
      <c r="T23" s="2"/>
      <c r="U23" s="2"/>
      <c r="V23" s="2">
        <v>1023.86</v>
      </c>
      <c r="X23" s="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</row>
    <row r="24" spans="1:47" ht="12.75">
      <c r="A24" t="s">
        <v>106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2"/>
      <c r="S24" s="2"/>
      <c r="T24" s="2"/>
      <c r="U24" s="2"/>
      <c r="V24" s="2"/>
      <c r="X24" s="3">
        <v>961.84</v>
      </c>
      <c r="Y24" s="2">
        <v>977.38</v>
      </c>
      <c r="Z24" s="2">
        <v>1020.12</v>
      </c>
      <c r="AA24" s="2"/>
      <c r="AB24" s="2"/>
      <c r="AC24" s="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</row>
    <row r="25" spans="1:47" ht="12.75">
      <c r="A25" t="s">
        <v>107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2"/>
      <c r="S25" s="2"/>
      <c r="T25" s="2"/>
      <c r="U25" s="2"/>
      <c r="V25" s="2"/>
      <c r="X25" s="3">
        <v>940.38</v>
      </c>
      <c r="Y25" s="2">
        <v>1010.31</v>
      </c>
      <c r="Z25" s="2">
        <v>1049.16</v>
      </c>
      <c r="AA25" s="2">
        <v>1048.61</v>
      </c>
      <c r="AB25" s="2"/>
      <c r="AC25" s="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</row>
    <row r="26" spans="1:47" ht="12.75">
      <c r="A26" t="s">
        <v>108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2"/>
      <c r="S26" s="2"/>
      <c r="T26" s="2"/>
      <c r="U26" s="2"/>
      <c r="V26" s="2"/>
      <c r="X26" s="3">
        <v>1137</v>
      </c>
      <c r="Y26" s="2">
        <v>1194.45</v>
      </c>
      <c r="Z26" s="2"/>
      <c r="AA26" s="2"/>
      <c r="AB26" s="2"/>
      <c r="AC26" s="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</row>
    <row r="27" spans="1:47" ht="12.75">
      <c r="A27" t="s">
        <v>111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2"/>
      <c r="S27" s="2"/>
      <c r="T27" s="2"/>
      <c r="U27" s="2"/>
      <c r="V27" s="2"/>
      <c r="X27" s="3"/>
      <c r="Y27" s="2">
        <v>4.94</v>
      </c>
      <c r="Z27" s="2">
        <v>10.4</v>
      </c>
      <c r="AA27" s="2">
        <v>12.92</v>
      </c>
      <c r="AB27" s="2">
        <v>11.24</v>
      </c>
      <c r="AC27" s="2">
        <v>8.44</v>
      </c>
      <c r="AD27" s="83">
        <v>14.88</v>
      </c>
      <c r="AE27" s="83">
        <v>9</v>
      </c>
      <c r="AF27" s="83">
        <v>9.42</v>
      </c>
      <c r="AG27" s="83">
        <v>12.92</v>
      </c>
      <c r="AH27" s="83">
        <v>13.2</v>
      </c>
      <c r="AI27" s="83">
        <v>12.36</v>
      </c>
      <c r="AJ27" s="83">
        <f>Assets!F13</f>
        <v>13.760000000000002</v>
      </c>
      <c r="AK27" s="83">
        <f>Assets!F40</f>
        <v>9</v>
      </c>
      <c r="AL27" s="83">
        <f>Assets!F69</f>
        <v>7.600000000000001</v>
      </c>
      <c r="AM27" s="83">
        <f>Assets!F97</f>
        <v>7.039999999999999</v>
      </c>
      <c r="AN27" s="83">
        <f>Assets!F124</f>
        <v>3.4000000000000004</v>
      </c>
      <c r="AO27" s="83">
        <f>Assets!F153</f>
        <v>2.84</v>
      </c>
      <c r="AP27" s="83"/>
      <c r="AQ27" s="83"/>
      <c r="AR27" s="83"/>
      <c r="AS27" s="83"/>
      <c r="AT27" s="83"/>
      <c r="AU27" s="83"/>
    </row>
    <row r="28" spans="1:47" ht="12.75">
      <c r="A28" t="s">
        <v>117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2"/>
      <c r="S28" s="2"/>
      <c r="T28" s="2"/>
      <c r="U28" s="2"/>
      <c r="V28" s="2"/>
      <c r="X28" s="3"/>
      <c r="Y28" s="2"/>
      <c r="Z28" s="2"/>
      <c r="AA28" s="2"/>
      <c r="AB28" s="2">
        <v>928.28</v>
      </c>
      <c r="AC28" s="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</row>
    <row r="29" spans="1:47" ht="12.75">
      <c r="A29" t="s">
        <v>118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2"/>
      <c r="S29" s="2"/>
      <c r="T29" s="2"/>
      <c r="U29" s="2"/>
      <c r="V29" s="2"/>
      <c r="X29" s="3"/>
      <c r="Y29" s="2"/>
      <c r="Z29" s="2"/>
      <c r="AA29" s="2"/>
      <c r="AB29" s="2">
        <v>994.61</v>
      </c>
      <c r="AC29" s="2">
        <v>893.25</v>
      </c>
      <c r="AD29" s="83">
        <v>895.8</v>
      </c>
      <c r="AE29" s="83">
        <v>861.38</v>
      </c>
      <c r="AF29" s="83">
        <v>893.25</v>
      </c>
      <c r="AG29" s="83">
        <v>863.29</v>
      </c>
      <c r="AH29" s="83">
        <v>893.89</v>
      </c>
      <c r="AI29" s="83">
        <v>972.3</v>
      </c>
      <c r="AJ29" s="83">
        <f>Assets!F6</f>
        <v>1010.55</v>
      </c>
      <c r="AK29" s="83">
        <f>Assets!F35</f>
        <v>1039.24</v>
      </c>
      <c r="AL29" s="83">
        <f>Assets!F63</f>
        <v>1087.05</v>
      </c>
      <c r="AM29" s="83">
        <f>Assets!F92</f>
        <v>867.75</v>
      </c>
      <c r="AN29" s="83">
        <f>Assets!F119</f>
        <v>969.75</v>
      </c>
      <c r="AO29" s="83">
        <f>Assets!F148</f>
        <v>933.41</v>
      </c>
      <c r="AP29" s="83">
        <f>Assets!F177</f>
        <v>1881.83</v>
      </c>
      <c r="AQ29" s="83">
        <f>Assets!F205</f>
        <v>1847.74</v>
      </c>
      <c r="AR29" s="83">
        <f>Assets!F233</f>
        <v>2092.66</v>
      </c>
      <c r="AS29" s="83">
        <f>Assets!F261</f>
        <v>2015.65</v>
      </c>
      <c r="AT29" s="83">
        <f>Assets!F292</f>
        <v>2047.21</v>
      </c>
      <c r="AU29" s="83">
        <f>Assets!F318</f>
        <v>2028.91</v>
      </c>
    </row>
    <row r="30" spans="1:47" ht="12.75">
      <c r="A30" t="s">
        <v>119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2"/>
      <c r="S30" s="2"/>
      <c r="T30" s="2"/>
      <c r="U30" s="2"/>
      <c r="V30" s="2"/>
      <c r="X30" s="3"/>
      <c r="Y30" s="2"/>
      <c r="Z30" s="2"/>
      <c r="AA30" s="2"/>
      <c r="AB30" s="2">
        <v>978.57</v>
      </c>
      <c r="AC30" s="2">
        <v>829.05</v>
      </c>
      <c r="AD30" s="83">
        <v>632.36</v>
      </c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</row>
    <row r="31" spans="1:47" ht="12.75">
      <c r="A31" t="s">
        <v>122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2"/>
      <c r="S31" s="2"/>
      <c r="T31" s="2"/>
      <c r="U31" s="2"/>
      <c r="V31" s="2"/>
      <c r="X31" s="3"/>
      <c r="Y31" s="2"/>
      <c r="Z31" s="2"/>
      <c r="AA31" s="2"/>
      <c r="AB31" s="2">
        <v>956.99</v>
      </c>
      <c r="AC31" s="2">
        <v>754.59</v>
      </c>
      <c r="AD31" s="83">
        <v>762.18</v>
      </c>
      <c r="AE31" s="83">
        <v>793.81</v>
      </c>
      <c r="AF31" s="83">
        <v>961.42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</row>
    <row r="32" spans="1:47" ht="12.75">
      <c r="A32" t="s">
        <v>149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2"/>
      <c r="S32" s="2"/>
      <c r="T32" s="2"/>
      <c r="U32" s="2"/>
      <c r="V32" s="2"/>
      <c r="X32" s="3"/>
      <c r="Y32" s="2"/>
      <c r="Z32" s="2"/>
      <c r="AA32" s="2"/>
      <c r="AB32" s="2"/>
      <c r="AC32" s="2">
        <v>925.48</v>
      </c>
      <c r="AD32" s="83">
        <v>906.16</v>
      </c>
      <c r="AE32" s="83">
        <v>817.84</v>
      </c>
      <c r="AF32" s="83">
        <v>845.44</v>
      </c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</row>
    <row r="33" spans="1:47" ht="12.75">
      <c r="A33" t="s">
        <v>188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2"/>
      <c r="S33" s="2"/>
      <c r="T33" s="2"/>
      <c r="U33" s="2"/>
      <c r="V33" s="2"/>
      <c r="X33" s="3"/>
      <c r="Y33" s="2"/>
      <c r="Z33" s="2"/>
      <c r="AA33" s="2"/>
      <c r="AB33" s="2"/>
      <c r="AC33" s="2"/>
      <c r="AD33" s="83">
        <v>1035.2</v>
      </c>
      <c r="AE33" s="83">
        <v>1106.6</v>
      </c>
      <c r="AF33" s="83">
        <v>1093.3</v>
      </c>
      <c r="AG33" s="83">
        <v>915.5</v>
      </c>
      <c r="AH33" s="83">
        <v>716</v>
      </c>
      <c r="AI33" s="83">
        <v>811.9</v>
      </c>
      <c r="AJ33" s="83">
        <f>Assets!F11</f>
        <v>833.6</v>
      </c>
      <c r="AK33" s="83">
        <f>Assets!F38</f>
        <v>807.7</v>
      </c>
      <c r="AL33" s="83">
        <f>Assets!F67</f>
        <v>674</v>
      </c>
      <c r="AM33" s="83">
        <f>Assets!F95</f>
        <v>402.4</v>
      </c>
      <c r="AN33" s="83">
        <f>Assets!F122</f>
        <v>335.2</v>
      </c>
      <c r="AO33" s="83">
        <f>Assets!F151</f>
        <v>256.8</v>
      </c>
      <c r="AP33" s="83">
        <f>Assets!F180</f>
        <v>314.9</v>
      </c>
      <c r="AQ33" s="83">
        <f>Assets!F208</f>
        <v>399.6</v>
      </c>
      <c r="AR33" s="83">
        <f>Assets!F236</f>
        <v>340.8</v>
      </c>
      <c r="AS33" s="83">
        <f>Assets!F264</f>
        <v>256.8</v>
      </c>
      <c r="AT33" s="83"/>
      <c r="AU33" s="83"/>
    </row>
    <row r="34" spans="1:47" ht="12.75">
      <c r="A34" t="s">
        <v>153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2"/>
      <c r="S34" s="2"/>
      <c r="T34" s="2"/>
      <c r="U34" s="2"/>
      <c r="V34" s="2"/>
      <c r="X34" s="3"/>
      <c r="Y34" s="2"/>
      <c r="Z34" s="2"/>
      <c r="AA34" s="2"/>
      <c r="AB34" s="2"/>
      <c r="AC34" s="2"/>
      <c r="AD34" s="83">
        <v>554.35</v>
      </c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</row>
    <row r="35" spans="1:47" ht="12.75">
      <c r="A35" t="s">
        <v>159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2"/>
      <c r="S35" s="2"/>
      <c r="T35" s="2"/>
      <c r="U35" s="2"/>
      <c r="V35" s="2"/>
      <c r="X35" s="3"/>
      <c r="Y35" s="2"/>
      <c r="Z35" s="2"/>
      <c r="AA35" s="2"/>
      <c r="AB35" s="2"/>
      <c r="AC35" s="2"/>
      <c r="AD35" s="83"/>
      <c r="AE35" s="83">
        <v>1019.69</v>
      </c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>
        <f>Assets!F266</f>
        <v>905.19</v>
      </c>
      <c r="AT35" s="83">
        <f>Assets!F296</f>
        <v>497.16</v>
      </c>
      <c r="AU35" s="83">
        <f>Assets!F321</f>
        <v>636.75</v>
      </c>
    </row>
    <row r="36" spans="1:47" ht="12.75">
      <c r="A36" t="s">
        <v>174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2"/>
      <c r="S36" s="2"/>
      <c r="T36" s="2"/>
      <c r="U36" s="2"/>
      <c r="V36" s="2"/>
      <c r="X36" s="3"/>
      <c r="Y36" s="2"/>
      <c r="Z36" s="2"/>
      <c r="AA36" s="2"/>
      <c r="AB36" s="2"/>
      <c r="AC36" s="2"/>
      <c r="AD36" s="83"/>
      <c r="AE36" s="83"/>
      <c r="AF36" s="83"/>
      <c r="AG36" s="83">
        <v>885.98</v>
      </c>
      <c r="AH36" s="83">
        <v>950.14</v>
      </c>
      <c r="AI36" s="83">
        <v>831.78</v>
      </c>
      <c r="AJ36" s="83">
        <f>Assets!F5</f>
        <v>960.9</v>
      </c>
      <c r="AK36" s="83">
        <f>Assets!F33</f>
        <v>336.82</v>
      </c>
      <c r="AL36" s="83">
        <f>Assets!F61</f>
        <v>261.5</v>
      </c>
      <c r="AM36" s="83">
        <f>Assets!F90</f>
        <v>196.94</v>
      </c>
      <c r="AN36" s="83">
        <f>Assets!F117</f>
        <v>186.18</v>
      </c>
      <c r="AO36" s="83">
        <f>Assets!F145</f>
        <v>110.86</v>
      </c>
      <c r="AP36" s="83">
        <f>Assets!F174</f>
        <v>153.9</v>
      </c>
      <c r="AQ36" s="83">
        <f>Assets!F202</f>
        <v>196.94</v>
      </c>
      <c r="AR36" s="83">
        <f>Assets!F230</f>
        <v>175.42</v>
      </c>
      <c r="AS36" s="83">
        <f>Assets!F258</f>
        <v>164.66</v>
      </c>
      <c r="AT36" s="83">
        <f>Assets!F288</f>
        <v>164.66</v>
      </c>
      <c r="AU36" s="83">
        <f>Assets!F315</f>
        <v>143.14</v>
      </c>
    </row>
    <row r="37" spans="1:47" ht="12.75">
      <c r="A37" t="s">
        <v>189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2"/>
      <c r="S37" s="2"/>
      <c r="T37" s="2"/>
      <c r="U37" s="2"/>
      <c r="V37" s="2"/>
      <c r="X37" s="3"/>
      <c r="Y37" s="2"/>
      <c r="Z37" s="2"/>
      <c r="AA37" s="2"/>
      <c r="AB37" s="2"/>
      <c r="AC37" s="2"/>
      <c r="AD37" s="83"/>
      <c r="AE37" s="83"/>
      <c r="AF37" s="83"/>
      <c r="AG37" s="83"/>
      <c r="AH37" s="83">
        <v>957.42</v>
      </c>
      <c r="AI37" s="83">
        <v>1013.52</v>
      </c>
      <c r="AJ37" s="83">
        <f>Assets!F9</f>
        <v>1049.99</v>
      </c>
      <c r="AK37" s="83">
        <f>Assets!F36</f>
        <v>1075.23</v>
      </c>
      <c r="AL37" s="83">
        <f>Assets!F65</f>
        <v>985.47</v>
      </c>
      <c r="AM37" s="83"/>
      <c r="AN37" s="83"/>
      <c r="AO37" s="83"/>
      <c r="AP37" s="83"/>
      <c r="AQ37" s="83"/>
      <c r="AR37" s="83"/>
      <c r="AS37" s="83"/>
      <c r="AT37" s="83"/>
      <c r="AU37" s="83"/>
    </row>
    <row r="38" spans="1:47" ht="12.75">
      <c r="A38" s="231" t="s">
        <v>51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2"/>
      <c r="S38" s="2"/>
      <c r="T38" s="2"/>
      <c r="U38" s="2"/>
      <c r="V38" s="2"/>
      <c r="X38" s="3"/>
      <c r="Y38" s="2"/>
      <c r="Z38" s="2"/>
      <c r="AA38" s="2"/>
      <c r="AB38" s="2"/>
      <c r="AC38" s="2"/>
      <c r="AD38" s="83"/>
      <c r="AE38" s="83"/>
      <c r="AF38" s="83"/>
      <c r="AG38" s="83"/>
      <c r="AH38" s="83"/>
      <c r="AI38" s="83">
        <v>919.72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</row>
    <row r="39" spans="1:47" ht="12.75">
      <c r="A39" s="231" t="s">
        <v>184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2"/>
      <c r="S39" s="2"/>
      <c r="T39" s="2"/>
      <c r="U39" s="2"/>
      <c r="V39" s="2"/>
      <c r="X39" s="3"/>
      <c r="Y39" s="2"/>
      <c r="Z39" s="2"/>
      <c r="AA39" s="2"/>
      <c r="AB39" s="2"/>
      <c r="AC39" s="2"/>
      <c r="AD39" s="83"/>
      <c r="AE39" s="83"/>
      <c r="AF39" s="83"/>
      <c r="AG39" s="83"/>
      <c r="AH39" s="83"/>
      <c r="AI39" s="83">
        <v>909.83</v>
      </c>
      <c r="AJ39" s="83">
        <f>Assets!F12</f>
        <v>932.48</v>
      </c>
      <c r="AK39" s="83">
        <f>Assets!F39</f>
        <v>974</v>
      </c>
      <c r="AL39" s="83">
        <f>Assets!F68</f>
        <v>889.06</v>
      </c>
      <c r="AM39" s="83">
        <f>Assets!F96</f>
        <v>656.9</v>
      </c>
      <c r="AN39" s="83">
        <f>Assets!F123</f>
        <v>736.18</v>
      </c>
      <c r="AO39" s="83">
        <f>Assets!F152</f>
        <v>755.05</v>
      </c>
      <c r="AP39" s="83">
        <f>Assets!F181</f>
        <v>783.36</v>
      </c>
      <c r="AQ39" s="83">
        <f>Assets!F209</f>
        <v>587.06</v>
      </c>
      <c r="AR39" s="83">
        <f>Assets!F237</f>
        <v>626.7</v>
      </c>
      <c r="AS39" s="83">
        <f>Assets!F265</f>
        <v>594.61</v>
      </c>
      <c r="AT39" s="83">
        <f>Assets!F295</f>
        <v>583.29</v>
      </c>
      <c r="AU39" s="83">
        <f>Assets!F320</f>
        <v>634.25</v>
      </c>
    </row>
    <row r="40" spans="1:47" ht="12.75">
      <c r="A40" s="83" t="s">
        <v>152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2"/>
      <c r="S40" s="2"/>
      <c r="T40" s="2"/>
      <c r="U40" s="2"/>
      <c r="V40" s="2"/>
      <c r="X40" s="3"/>
      <c r="Y40" s="2"/>
      <c r="Z40" s="2"/>
      <c r="AA40" s="2"/>
      <c r="AB40" s="2"/>
      <c r="AC40" s="2"/>
      <c r="AD40" s="83"/>
      <c r="AE40" s="83"/>
      <c r="AF40" s="83"/>
      <c r="AG40" s="83"/>
      <c r="AH40" s="83"/>
      <c r="AI40" s="83">
        <v>131.5</v>
      </c>
      <c r="AJ40" s="83">
        <f>Assets!F8</f>
        <v>188.5</v>
      </c>
      <c r="AK40" s="83"/>
      <c r="AL40" s="83">
        <f>Assets!F64</f>
        <v>193.56</v>
      </c>
      <c r="AM40" s="83">
        <f>Assets!F93</f>
        <v>165.56</v>
      </c>
      <c r="AN40" s="83">
        <f>Assets!F120</f>
        <v>77.5</v>
      </c>
      <c r="AO40" s="83">
        <f>Assets!F149</f>
        <v>64.78</v>
      </c>
      <c r="AP40" s="83">
        <f>Assets!F178</f>
        <v>120.77000000000001</v>
      </c>
      <c r="AQ40" s="83">
        <f>Assets!F206</f>
        <v>98.37</v>
      </c>
      <c r="AR40" s="83">
        <f>Assets!F234</f>
        <v>84.12</v>
      </c>
      <c r="AS40" s="83">
        <f>Assets!F262</f>
        <v>74.96</v>
      </c>
      <c r="AT40" s="83">
        <f>Assets!F293</f>
        <v>100.92</v>
      </c>
      <c r="AU40" s="83"/>
    </row>
    <row r="41" spans="1:47" ht="12.75">
      <c r="A41" s="91" t="s">
        <v>185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2"/>
      <c r="S41" s="2"/>
      <c r="T41" s="2"/>
      <c r="U41" s="2"/>
      <c r="V41" s="2"/>
      <c r="X41" s="3"/>
      <c r="Y41" s="2"/>
      <c r="Z41" s="2"/>
      <c r="AA41" s="2"/>
      <c r="AB41" s="2"/>
      <c r="AC41" s="2"/>
      <c r="AD41" s="83"/>
      <c r="AE41" s="83"/>
      <c r="AF41" s="83"/>
      <c r="AG41" s="83"/>
      <c r="AH41" s="83"/>
      <c r="AI41" s="83">
        <v>1007.4</v>
      </c>
      <c r="AJ41" s="83">
        <f>Assets!F7</f>
        <v>806.8</v>
      </c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</row>
    <row r="42" spans="1:47" ht="12.75">
      <c r="A42" s="91" t="s">
        <v>193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2"/>
      <c r="S42" s="2"/>
      <c r="T42" s="2"/>
      <c r="U42" s="2"/>
      <c r="V42" s="2"/>
      <c r="X42" s="3"/>
      <c r="Y42" s="2"/>
      <c r="Z42" s="2"/>
      <c r="AA42" s="2"/>
      <c r="AB42" s="2"/>
      <c r="AC42" s="2"/>
      <c r="AD42" s="83"/>
      <c r="AE42" s="83"/>
      <c r="AF42" s="83"/>
      <c r="AG42" s="83"/>
      <c r="AH42" s="83"/>
      <c r="AI42" s="83"/>
      <c r="AJ42" s="83">
        <f>Assets!F10</f>
        <v>1001.49</v>
      </c>
      <c r="AK42" s="83">
        <f>Assets!F37</f>
        <v>934.83</v>
      </c>
      <c r="AL42" s="83">
        <f>Assets!F66</f>
        <v>830.8</v>
      </c>
      <c r="AM42" s="83">
        <f>Assets!F94</f>
        <v>780.3</v>
      </c>
      <c r="AN42" s="83">
        <f>Assets!F121</f>
        <v>891.4</v>
      </c>
      <c r="AO42" s="83">
        <f>Assets!F150</f>
        <v>794.44</v>
      </c>
      <c r="AP42" s="83">
        <f>Assets!F179</f>
        <v>807.07</v>
      </c>
      <c r="AQ42" s="83">
        <f>Assets!F207</f>
        <v>770.2</v>
      </c>
      <c r="AR42" s="83">
        <f>Assets!F235</f>
        <v>825.75</v>
      </c>
      <c r="AS42" s="83">
        <f>Assets!F263</f>
        <v>709.6</v>
      </c>
      <c r="AT42" s="83">
        <f>Assets!F294</f>
        <v>640.92</v>
      </c>
      <c r="AU42" s="83">
        <f>Assets!F324</f>
        <v>944.5</v>
      </c>
    </row>
    <row r="43" spans="1:47" ht="12.75">
      <c r="A43" s="91" t="s">
        <v>209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2"/>
      <c r="S43" s="2"/>
      <c r="T43" s="2"/>
      <c r="U43" s="2"/>
      <c r="V43" s="2"/>
      <c r="X43" s="3"/>
      <c r="Y43" s="2"/>
      <c r="Z43" s="2"/>
      <c r="AA43" s="2"/>
      <c r="AB43" s="2"/>
      <c r="AC43" s="2"/>
      <c r="AD43" s="83"/>
      <c r="AE43" s="83"/>
      <c r="AF43" s="83"/>
      <c r="AG43" s="83"/>
      <c r="AH43" s="83"/>
      <c r="AI43" s="83"/>
      <c r="AJ43" s="83"/>
      <c r="AK43" s="83">
        <f>Assets!F42</f>
        <v>465.94</v>
      </c>
      <c r="AL43" s="83">
        <f>Assets!F71</f>
        <v>455.18</v>
      </c>
      <c r="AM43" s="83">
        <f>Assets!F99</f>
        <v>358.34</v>
      </c>
      <c r="AN43" s="83">
        <f>Assets!F126</f>
        <v>412.14</v>
      </c>
      <c r="AO43" s="83">
        <f>Assets!F155</f>
        <v>239.98</v>
      </c>
      <c r="AP43" s="83">
        <f>Assets!F183</f>
        <v>164.66</v>
      </c>
      <c r="AQ43" s="83">
        <f>Assets!F211</f>
        <v>196.94</v>
      </c>
      <c r="AR43" s="83">
        <f>Assets!F239</f>
        <v>196.94</v>
      </c>
      <c r="AS43" s="83">
        <f>Assets!F268</f>
        <v>218.46</v>
      </c>
      <c r="AT43" s="83">
        <f>Assets!F298</f>
        <v>218.46</v>
      </c>
      <c r="AU43" s="83">
        <f>Assets!F323</f>
        <v>175.42</v>
      </c>
    </row>
    <row r="44" spans="1:47" ht="12.75">
      <c r="A44" s="91" t="s">
        <v>235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2"/>
      <c r="S44" s="2"/>
      <c r="T44" s="2"/>
      <c r="U44" s="2"/>
      <c r="V44" s="2"/>
      <c r="X44" s="3"/>
      <c r="Y44" s="2"/>
      <c r="Z44" s="2"/>
      <c r="AA44" s="2"/>
      <c r="AB44" s="2"/>
      <c r="AC44" s="2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>
        <f>Assets!F146</f>
        <v>870</v>
      </c>
      <c r="AP44" s="83">
        <f>Assets!F175</f>
        <v>1013</v>
      </c>
      <c r="AQ44" s="83">
        <f>Assets!F203</f>
        <v>948</v>
      </c>
      <c r="AR44" s="83">
        <f>Assets!F231</f>
        <v>948</v>
      </c>
      <c r="AS44" s="83">
        <f>Assets!F259</f>
        <v>805</v>
      </c>
      <c r="AT44" s="83">
        <f>Assets!F289</f>
        <v>948</v>
      </c>
      <c r="AU44" s="83">
        <f>Assets!F316</f>
        <v>941.5</v>
      </c>
    </row>
    <row r="45" spans="1:47" ht="12.75">
      <c r="A45" s="91" t="s">
        <v>270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2"/>
      <c r="S45" s="2"/>
      <c r="T45" s="2"/>
      <c r="U45" s="2"/>
      <c r="V45" s="2"/>
      <c r="X45" s="3"/>
      <c r="Y45" s="2"/>
      <c r="Z45" s="2"/>
      <c r="AA45" s="2"/>
      <c r="AB45" s="2"/>
      <c r="AC45" s="2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>
        <f>Assets!F291</f>
        <v>502.95</v>
      </c>
      <c r="AU45" s="83">
        <v>0</v>
      </c>
    </row>
    <row r="46" spans="1:47" ht="12.75">
      <c r="A46" s="91" t="s">
        <v>274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2"/>
      <c r="S46" s="2"/>
      <c r="T46" s="2"/>
      <c r="U46" s="2"/>
      <c r="V46" s="2"/>
      <c r="X46" s="3"/>
      <c r="Y46" s="2"/>
      <c r="Z46" s="2"/>
      <c r="AA46" s="2"/>
      <c r="AB46" s="2"/>
      <c r="AC46" s="2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>
        <f>Assets!F319</f>
        <v>489.36</v>
      </c>
    </row>
    <row r="47" spans="1:47" ht="12.75">
      <c r="A47" t="s">
        <v>47</v>
      </c>
      <c r="B47" s="67">
        <v>800</v>
      </c>
      <c r="C47" s="67">
        <v>800.01</v>
      </c>
      <c r="D47" s="67">
        <v>1100.06</v>
      </c>
      <c r="E47" s="67">
        <v>1373.37</v>
      </c>
      <c r="F47" s="67">
        <v>1681.28</v>
      </c>
      <c r="G47" s="67">
        <v>2844.57</v>
      </c>
      <c r="H47" s="67">
        <v>2926.97</v>
      </c>
      <c r="I47" s="67">
        <v>4049.54</v>
      </c>
      <c r="J47" s="67">
        <v>5841.92</v>
      </c>
      <c r="K47" s="67">
        <v>6021.47</v>
      </c>
      <c r="L47" s="67">
        <f>SUM(L2:L13)</f>
        <v>5991.92</v>
      </c>
      <c r="M47" s="67">
        <f>SUM(M2:M15)</f>
        <v>6636.170000000001</v>
      </c>
      <c r="N47" s="67">
        <f>SUM(N2:N15)</f>
        <v>7616.950000000001</v>
      </c>
      <c r="O47" s="67">
        <f>SUM(O2:O17)</f>
        <v>7898.659999999999</v>
      </c>
      <c r="P47" s="67">
        <f>SUM(P2:P17)</f>
        <v>8357.68</v>
      </c>
      <c r="Q47" s="67">
        <f>SUM(Q2:Q18)</f>
        <v>8277.79</v>
      </c>
      <c r="R47" s="67">
        <f>SUM(R2:R18)</f>
        <v>8645.88</v>
      </c>
      <c r="S47" s="2">
        <f>SUM(S2:S19)</f>
        <v>8259.849999999999</v>
      </c>
      <c r="T47" s="2">
        <f>SUM(T2:T20)</f>
        <v>8532.64</v>
      </c>
      <c r="U47" s="2">
        <f>SUM(U2:U20)</f>
        <v>9323.54</v>
      </c>
      <c r="V47" s="2">
        <f>SUM(V2:V23)</f>
        <v>9204.16</v>
      </c>
      <c r="W47" s="2">
        <f>SUM(W2:W23)</f>
        <v>8812.22</v>
      </c>
      <c r="X47" s="2">
        <v>8224.67</v>
      </c>
      <c r="Y47" s="2">
        <v>8757.77</v>
      </c>
      <c r="Z47" s="2">
        <v>9267.93</v>
      </c>
      <c r="AA47" s="2">
        <v>9239.39</v>
      </c>
      <c r="AB47" s="2">
        <v>9066.73</v>
      </c>
      <c r="AC47" s="2">
        <v>8587.43</v>
      </c>
      <c r="AD47" s="83">
        <v>9085</v>
      </c>
      <c r="AE47" s="83">
        <v>9913.81</v>
      </c>
      <c r="AF47" s="83">
        <v>10171.22</v>
      </c>
      <c r="AG47" s="83">
        <v>10078.67</v>
      </c>
      <c r="AH47" s="83">
        <v>9976.58</v>
      </c>
      <c r="AI47" s="83">
        <v>10335.4</v>
      </c>
      <c r="AJ47" s="83">
        <f>SUM(AJ2:AJ42)</f>
        <v>10874.13</v>
      </c>
      <c r="AK47" s="83">
        <f>SUM(AK2:AK43)</f>
        <v>11024.929999999998</v>
      </c>
      <c r="AL47" s="83">
        <f>SUM(AL2:AL43)</f>
        <v>10535.07</v>
      </c>
      <c r="AM47" s="83">
        <f>SUM(AM2:AM43)</f>
        <v>9782.64</v>
      </c>
      <c r="AN47" s="83">
        <f>SUM(AN2:AN43)</f>
        <v>10341.019999999999</v>
      </c>
      <c r="AO47" s="83">
        <f>SUM(AO2:AO44)</f>
        <v>9523.519999999999</v>
      </c>
      <c r="AP47" s="83">
        <f>SUM(AP2:AP44)</f>
        <v>9622.789999999999</v>
      </c>
      <c r="AQ47" s="83">
        <f>SUM(AQ2:AQ44)</f>
        <v>10075.58</v>
      </c>
      <c r="AR47" s="83">
        <f>SUM(AR2:AR44)</f>
        <v>10590.990000000002</v>
      </c>
      <c r="AS47" s="83">
        <f>SUM(AS2:AS44)</f>
        <v>10317.889999999998</v>
      </c>
      <c r="AT47" s="83">
        <f>SUM(AT2:AT45)</f>
        <v>10484.119999999999</v>
      </c>
      <c r="AU47" s="83">
        <f>SUM(AU2:AU46)</f>
        <v>10709.29</v>
      </c>
    </row>
    <row r="48" spans="1:47" ht="12.75">
      <c r="A48" t="s">
        <v>20</v>
      </c>
      <c r="B48">
        <v>800</v>
      </c>
      <c r="C48">
        <v>800</v>
      </c>
      <c r="D48">
        <v>1100</v>
      </c>
      <c r="E48">
        <v>1400</v>
      </c>
      <c r="F48">
        <v>1700</v>
      </c>
      <c r="G48">
        <v>2010</v>
      </c>
      <c r="H48">
        <v>2220</v>
      </c>
      <c r="I48">
        <v>2450</v>
      </c>
      <c r="J48">
        <v>2840</v>
      </c>
      <c r="K48">
        <v>3265</v>
      </c>
      <c r="L48">
        <v>3604</v>
      </c>
      <c r="M48">
        <v>3964</v>
      </c>
      <c r="N48">
        <v>4324</v>
      </c>
      <c r="O48">
        <v>4630</v>
      </c>
      <c r="P48">
        <v>5024</v>
      </c>
      <c r="Q48">
        <v>4983</v>
      </c>
      <c r="R48">
        <v>5307</v>
      </c>
      <c r="S48">
        <v>5654</v>
      </c>
      <c r="T48">
        <v>5609</v>
      </c>
      <c r="U48" s="44">
        <v>5968</v>
      </c>
      <c r="V48" s="44">
        <v>6292</v>
      </c>
      <c r="W48" s="44">
        <v>6429</v>
      </c>
      <c r="X48" s="44">
        <v>6017</v>
      </c>
      <c r="Y48" s="44">
        <v>6369</v>
      </c>
      <c r="Z48" s="44">
        <v>6718</v>
      </c>
      <c r="AA48" s="44">
        <v>6696</v>
      </c>
      <c r="AB48" s="44">
        <v>6649</v>
      </c>
      <c r="AC48" s="44">
        <v>6963</v>
      </c>
      <c r="AD48" s="167">
        <v>7301</v>
      </c>
      <c r="AE48" s="167">
        <v>7638</v>
      </c>
      <c r="AF48" s="167">
        <v>7960</v>
      </c>
      <c r="AG48" s="167">
        <v>8294</v>
      </c>
      <c r="AH48" s="167">
        <v>8633</v>
      </c>
      <c r="AI48" s="167">
        <v>8996</v>
      </c>
      <c r="AJ48" s="167">
        <f>Units!J17</f>
        <v>9361</v>
      </c>
      <c r="AK48" s="167">
        <f>Units!J33</f>
        <v>9724</v>
      </c>
      <c r="AL48" s="167">
        <f>Units!J49</f>
        <v>10100</v>
      </c>
      <c r="AM48" s="167">
        <f>Units!J65</f>
        <v>10499</v>
      </c>
      <c r="AN48" s="167">
        <f>Units!J81</f>
        <v>10955</v>
      </c>
      <c r="AO48" s="167">
        <f>Units!J97</f>
        <v>10921</v>
      </c>
      <c r="AP48" s="167">
        <f>Units!J113</f>
        <v>10639</v>
      </c>
      <c r="AQ48" s="167">
        <f>Units!J129</f>
        <v>11045</v>
      </c>
      <c r="AR48" s="167">
        <f>Units!J145</f>
        <v>11441</v>
      </c>
      <c r="AS48" s="167">
        <f>Units!J161</f>
        <v>11825</v>
      </c>
      <c r="AT48" s="167">
        <f>Units!J177</f>
        <v>12235</v>
      </c>
      <c r="AU48" s="167">
        <f>Units!J193</f>
        <v>12655</v>
      </c>
    </row>
    <row r="49" spans="2:47" ht="12.75">
      <c r="B49">
        <v>100</v>
      </c>
      <c r="C49">
        <v>100</v>
      </c>
      <c r="D49">
        <v>100</v>
      </c>
      <c r="E49">
        <v>98</v>
      </c>
      <c r="F49">
        <v>99</v>
      </c>
      <c r="G49">
        <v>142</v>
      </c>
      <c r="H49">
        <v>132</v>
      </c>
      <c r="I49">
        <v>165</v>
      </c>
      <c r="J49">
        <v>206</v>
      </c>
      <c r="K49">
        <v>184</v>
      </c>
      <c r="L49">
        <v>166</v>
      </c>
      <c r="M49">
        <v>167</v>
      </c>
      <c r="N49">
        <v>176</v>
      </c>
      <c r="O49">
        <v>171</v>
      </c>
      <c r="P49">
        <v>166</v>
      </c>
      <c r="Q49">
        <v>166</v>
      </c>
      <c r="R49">
        <v>163</v>
      </c>
      <c r="S49">
        <v>146</v>
      </c>
      <c r="T49">
        <v>152</v>
      </c>
      <c r="U49">
        <v>156</v>
      </c>
      <c r="V49">
        <v>146</v>
      </c>
      <c r="W49">
        <v>137</v>
      </c>
      <c r="X49">
        <v>137</v>
      </c>
      <c r="Y49">
        <v>138</v>
      </c>
      <c r="Z49">
        <v>138</v>
      </c>
      <c r="AA49">
        <v>138</v>
      </c>
      <c r="AB49">
        <v>136</v>
      </c>
      <c r="AC49">
        <v>123</v>
      </c>
      <c r="AD49" s="85">
        <v>124</v>
      </c>
      <c r="AE49" s="85">
        <v>130</v>
      </c>
      <c r="AF49" s="85">
        <v>128</v>
      </c>
      <c r="AG49" s="85">
        <v>122</v>
      </c>
      <c r="AH49" s="85">
        <v>116</v>
      </c>
      <c r="AI49" s="85">
        <v>115</v>
      </c>
      <c r="AJ49" s="85">
        <f aca="true" t="shared" si="0" ref="AJ49:AO49">ROUND(100*AJ47/AJ48,0)</f>
        <v>116</v>
      </c>
      <c r="AK49" s="85">
        <f t="shared" si="0"/>
        <v>113</v>
      </c>
      <c r="AL49" s="85">
        <f t="shared" si="0"/>
        <v>104</v>
      </c>
      <c r="AM49" s="85">
        <f t="shared" si="0"/>
        <v>93</v>
      </c>
      <c r="AN49" s="85">
        <f t="shared" si="0"/>
        <v>94</v>
      </c>
      <c r="AO49" s="85">
        <f t="shared" si="0"/>
        <v>87</v>
      </c>
      <c r="AP49" s="85">
        <f aca="true" t="shared" si="1" ref="AP49:AU49">ROUND(100*AP47/AP48,0)</f>
        <v>90</v>
      </c>
      <c r="AQ49" s="85">
        <f t="shared" si="1"/>
        <v>91</v>
      </c>
      <c r="AR49" s="85">
        <f t="shared" si="1"/>
        <v>93</v>
      </c>
      <c r="AS49" s="85">
        <f t="shared" si="1"/>
        <v>87</v>
      </c>
      <c r="AT49" s="85">
        <f t="shared" si="1"/>
        <v>86</v>
      </c>
      <c r="AU49" s="85">
        <f t="shared" si="1"/>
        <v>85</v>
      </c>
    </row>
    <row r="50" spans="30:47" ht="12.75">
      <c r="AD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</row>
    <row r="51" spans="1:47" ht="12.75">
      <c r="A51" t="s">
        <v>22</v>
      </c>
      <c r="B51" s="44">
        <v>100</v>
      </c>
      <c r="C51" s="44">
        <v>100</v>
      </c>
      <c r="D51" s="44">
        <v>100</v>
      </c>
      <c r="E51" s="44">
        <v>98</v>
      </c>
      <c r="F51" s="44">
        <v>99</v>
      </c>
      <c r="G51" s="44">
        <v>142</v>
      </c>
      <c r="H51">
        <v>132</v>
      </c>
      <c r="I51">
        <v>165</v>
      </c>
      <c r="J51">
        <v>206</v>
      </c>
      <c r="K51">
        <v>184</v>
      </c>
      <c r="L51">
        <v>165</v>
      </c>
      <c r="M51">
        <v>167</v>
      </c>
      <c r="N51">
        <v>174</v>
      </c>
      <c r="O51">
        <v>170</v>
      </c>
      <c r="P51">
        <v>166</v>
      </c>
      <c r="Q51">
        <v>166</v>
      </c>
      <c r="R51">
        <v>163</v>
      </c>
      <c r="S51">
        <v>146</v>
      </c>
      <c r="T51">
        <v>152</v>
      </c>
      <c r="U51">
        <v>156</v>
      </c>
      <c r="V51">
        <v>146</v>
      </c>
      <c r="W51">
        <v>137</v>
      </c>
      <c r="X51">
        <v>137</v>
      </c>
      <c r="Y51">
        <v>138</v>
      </c>
      <c r="Z51">
        <v>138</v>
      </c>
      <c r="AA51">
        <v>138</v>
      </c>
      <c r="AB51">
        <v>136</v>
      </c>
      <c r="AC51">
        <v>123</v>
      </c>
      <c r="AD51" s="85">
        <v>124</v>
      </c>
      <c r="AE51">
        <v>130</v>
      </c>
      <c r="AF51">
        <v>128</v>
      </c>
      <c r="AG51">
        <v>122</v>
      </c>
      <c r="AH51" s="85">
        <v>116</v>
      </c>
      <c r="AI51" s="85">
        <v>115</v>
      </c>
      <c r="AJ51" s="85">
        <f>Assets!I25</f>
        <v>115.99999999999999</v>
      </c>
      <c r="AK51" s="85">
        <f>Assets!I53</f>
        <v>112.99999999999999</v>
      </c>
      <c r="AL51" s="85">
        <f>Assets!I83</f>
        <v>104</v>
      </c>
      <c r="AM51" s="85">
        <f>Assets!I110</f>
        <v>93</v>
      </c>
      <c r="AN51" s="85">
        <f>Assets!I137</f>
        <v>94</v>
      </c>
      <c r="AO51" s="85">
        <f>Assets!I166</f>
        <v>87</v>
      </c>
      <c r="AP51" s="85">
        <f>Assets!I194</f>
        <v>90</v>
      </c>
      <c r="AQ51" s="85">
        <f>Assets!I222</f>
        <v>91</v>
      </c>
      <c r="AR51" s="85">
        <f>Assets!I251</f>
        <v>93</v>
      </c>
      <c r="AS51" s="85">
        <f>Assets!I280</f>
        <v>87</v>
      </c>
      <c r="AT51" s="85">
        <f>Assets!I309</f>
        <v>86</v>
      </c>
      <c r="AU51" s="85">
        <f>Assets!I334</f>
        <v>85</v>
      </c>
    </row>
    <row r="52" spans="30:47" ht="12.75">
      <c r="AD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</row>
    <row r="53" spans="1:47" ht="12.75">
      <c r="A53" t="s">
        <v>85</v>
      </c>
      <c r="B53">
        <v>2946.17</v>
      </c>
      <c r="C53">
        <v>2925.13999999999</v>
      </c>
      <c r="D53">
        <v>2939.11</v>
      </c>
      <c r="E53">
        <v>2826.11</v>
      </c>
      <c r="F53">
        <v>2904.38</v>
      </c>
      <c r="G53">
        <v>3086.9</v>
      </c>
      <c r="H53">
        <v>3242.05999999999</v>
      </c>
      <c r="I53">
        <v>2975.86999999999</v>
      </c>
      <c r="J53">
        <v>2989.42999999999</v>
      </c>
      <c r="K53">
        <v>3110.55999999999</v>
      </c>
      <c r="L53">
        <v>3001.92</v>
      </c>
      <c r="M53">
        <v>3017.23</v>
      </c>
      <c r="N53" s="2">
        <v>3058.1</v>
      </c>
      <c r="O53">
        <v>3062.41</v>
      </c>
      <c r="P53">
        <v>3261.57</v>
      </c>
      <c r="Q53">
        <v>3029.36</v>
      </c>
      <c r="R53">
        <v>3078.21</v>
      </c>
      <c r="S53">
        <v>2896.05999999999</v>
      </c>
      <c r="T53">
        <v>2904.44</v>
      </c>
      <c r="U53">
        <v>3030.05</v>
      </c>
      <c r="V53" s="71">
        <v>2839.2</v>
      </c>
      <c r="W53" s="71">
        <v>2711.4</v>
      </c>
      <c r="X53" s="72">
        <v>2833.13</v>
      </c>
      <c r="Y53">
        <v>2818.15</v>
      </c>
      <c r="Z53">
        <v>2728.12</v>
      </c>
      <c r="AA53" s="85">
        <v>2663.92</v>
      </c>
      <c r="AB53" s="85">
        <v>2590.17</v>
      </c>
      <c r="AC53" s="85">
        <v>2340.48</v>
      </c>
      <c r="AD53" s="85">
        <v>2413.5</v>
      </c>
      <c r="AE53">
        <v>2514.07</v>
      </c>
      <c r="AF53" s="85">
        <v>2529.5</v>
      </c>
      <c r="AG53" s="85">
        <v>2510.22</v>
      </c>
      <c r="AH53" s="85">
        <v>2496.02</v>
      </c>
      <c r="AI53" s="125">
        <v>2557.4</v>
      </c>
      <c r="AJ53" s="125">
        <v>2507.58</v>
      </c>
      <c r="AK53" s="125">
        <v>2475.57</v>
      </c>
      <c r="AL53" s="125">
        <v>2260</v>
      </c>
      <c r="AM53" s="125">
        <v>2000</v>
      </c>
      <c r="AN53" s="125">
        <v>2030</v>
      </c>
      <c r="AO53" s="125">
        <v>1804</v>
      </c>
      <c r="AP53" s="125">
        <v>1938.71</v>
      </c>
      <c r="AQ53" s="125">
        <v>2002.97</v>
      </c>
      <c r="AR53" s="125">
        <v>1925.8</v>
      </c>
      <c r="AS53" s="125">
        <v>1765</v>
      </c>
      <c r="AT53" s="125">
        <v>1759.08</v>
      </c>
      <c r="AU53" s="251">
        <v>1735.72</v>
      </c>
    </row>
    <row r="54" spans="1:47" ht="12.75">
      <c r="A54" t="s">
        <v>85</v>
      </c>
      <c r="B54">
        <f>ROUND(B53/$B$53*100,0)</f>
        <v>100</v>
      </c>
      <c r="C54">
        <f aca="true" t="shared" si="2" ref="C54:W54">ROUND(C53/$B$53*100,0)</f>
        <v>99</v>
      </c>
      <c r="D54">
        <f t="shared" si="2"/>
        <v>100</v>
      </c>
      <c r="E54">
        <f t="shared" si="2"/>
        <v>96</v>
      </c>
      <c r="F54">
        <f t="shared" si="2"/>
        <v>99</v>
      </c>
      <c r="G54">
        <f t="shared" si="2"/>
        <v>105</v>
      </c>
      <c r="H54">
        <f t="shared" si="2"/>
        <v>110</v>
      </c>
      <c r="I54">
        <f t="shared" si="2"/>
        <v>101</v>
      </c>
      <c r="J54">
        <f t="shared" si="2"/>
        <v>101</v>
      </c>
      <c r="K54">
        <f t="shared" si="2"/>
        <v>106</v>
      </c>
      <c r="L54">
        <f t="shared" si="2"/>
        <v>102</v>
      </c>
      <c r="M54">
        <f t="shared" si="2"/>
        <v>102</v>
      </c>
      <c r="N54">
        <f t="shared" si="2"/>
        <v>104</v>
      </c>
      <c r="O54">
        <f t="shared" si="2"/>
        <v>104</v>
      </c>
      <c r="P54">
        <f t="shared" si="2"/>
        <v>111</v>
      </c>
      <c r="Q54">
        <f t="shared" si="2"/>
        <v>103</v>
      </c>
      <c r="R54">
        <f t="shared" si="2"/>
        <v>104</v>
      </c>
      <c r="S54">
        <f t="shared" si="2"/>
        <v>98</v>
      </c>
      <c r="T54">
        <f t="shared" si="2"/>
        <v>99</v>
      </c>
      <c r="U54">
        <f t="shared" si="2"/>
        <v>103</v>
      </c>
      <c r="V54" s="71">
        <f t="shared" si="2"/>
        <v>96</v>
      </c>
      <c r="W54" s="71">
        <f t="shared" si="2"/>
        <v>92</v>
      </c>
      <c r="X54" s="71">
        <f aca="true" t="shared" si="3" ref="X54:AP54">ROUND(X53/$B$53*100,0)</f>
        <v>96</v>
      </c>
      <c r="Y54" s="71">
        <f t="shared" si="3"/>
        <v>96</v>
      </c>
      <c r="Z54" s="71">
        <f t="shared" si="3"/>
        <v>93</v>
      </c>
      <c r="AA54" s="71">
        <f t="shared" si="3"/>
        <v>90</v>
      </c>
      <c r="AB54" s="71">
        <f t="shared" si="3"/>
        <v>88</v>
      </c>
      <c r="AC54" s="71">
        <f t="shared" si="3"/>
        <v>79</v>
      </c>
      <c r="AD54" s="71">
        <f t="shared" si="3"/>
        <v>82</v>
      </c>
      <c r="AE54" s="71">
        <f t="shared" si="3"/>
        <v>85</v>
      </c>
      <c r="AF54" s="71">
        <f t="shared" si="3"/>
        <v>86</v>
      </c>
      <c r="AG54" s="71">
        <f t="shared" si="3"/>
        <v>85</v>
      </c>
      <c r="AH54" s="71">
        <f t="shared" si="3"/>
        <v>85</v>
      </c>
      <c r="AI54" s="71">
        <f t="shared" si="3"/>
        <v>87</v>
      </c>
      <c r="AJ54" s="71">
        <f t="shared" si="3"/>
        <v>85</v>
      </c>
      <c r="AK54" s="71">
        <f t="shared" si="3"/>
        <v>84</v>
      </c>
      <c r="AL54" s="71">
        <f t="shared" si="3"/>
        <v>77</v>
      </c>
      <c r="AM54" s="71">
        <f t="shared" si="3"/>
        <v>68</v>
      </c>
      <c r="AN54" s="71">
        <f t="shared" si="3"/>
        <v>69</v>
      </c>
      <c r="AO54" s="71">
        <f t="shared" si="3"/>
        <v>61</v>
      </c>
      <c r="AP54" s="71">
        <f t="shared" si="3"/>
        <v>66</v>
      </c>
      <c r="AQ54" s="71">
        <f>ROUND(AQ53/$B$53*100,0)</f>
        <v>68</v>
      </c>
      <c r="AR54" s="71">
        <f>ROUND(AR53/$B$53*100,0)</f>
        <v>65</v>
      </c>
      <c r="AS54" s="71">
        <f>ROUND(AS53/$B$53*100,0)</f>
        <v>60</v>
      </c>
      <c r="AT54" s="71">
        <f>ROUND(AT53/$B$53*100,0)</f>
        <v>60</v>
      </c>
      <c r="AU54" s="253">
        <f>ROUND(AU53/$B$53*100,0)</f>
        <v>59</v>
      </c>
    </row>
    <row r="55" spans="13:47" ht="12.75">
      <c r="M55" s="61"/>
      <c r="V55" s="71"/>
      <c r="W55" s="71"/>
      <c r="X55" s="71"/>
      <c r="AD55" s="85"/>
      <c r="AF55" s="85"/>
      <c r="AG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254"/>
    </row>
    <row r="56" spans="1:47" ht="12.75">
      <c r="A56" t="s">
        <v>99</v>
      </c>
      <c r="B56">
        <v>1701.17</v>
      </c>
      <c r="C56">
        <v>1810.68</v>
      </c>
      <c r="D56">
        <v>1883.76</v>
      </c>
      <c r="E56">
        <v>1913.15</v>
      </c>
      <c r="F56">
        <v>1919.76</v>
      </c>
      <c r="G56">
        <v>2197.76</v>
      </c>
      <c r="H56">
        <v>3077.80999999999</v>
      </c>
      <c r="I56">
        <v>3779.40999999999</v>
      </c>
      <c r="J56">
        <v>3927.55999999999</v>
      </c>
      <c r="K56">
        <v>5342.36999999999</v>
      </c>
      <c r="L56">
        <v>4083.30999999999</v>
      </c>
      <c r="M56">
        <v>3671.98999999999</v>
      </c>
      <c r="N56">
        <v>3362.01</v>
      </c>
      <c r="O56">
        <v>3575.34</v>
      </c>
      <c r="P56">
        <v>4259.60999999999</v>
      </c>
      <c r="Q56">
        <v>3782</v>
      </c>
      <c r="R56">
        <v>3431.38999999999</v>
      </c>
      <c r="S56">
        <v>2594.73</v>
      </c>
      <c r="T56">
        <v>2344.61</v>
      </c>
      <c r="U56">
        <v>2808</v>
      </c>
      <c r="V56" s="72">
        <v>2248.43</v>
      </c>
      <c r="W56" s="71">
        <v>1927.57</v>
      </c>
      <c r="X56" s="72">
        <v>2051.16</v>
      </c>
      <c r="Y56">
        <v>2020.1</v>
      </c>
      <c r="Z56">
        <v>1788.19</v>
      </c>
      <c r="AA56" s="85">
        <v>1573.67</v>
      </c>
      <c r="AB56" s="85">
        <v>1448.15</v>
      </c>
      <c r="AC56" s="85">
        <v>1153.02</v>
      </c>
      <c r="AD56" s="85">
        <v>1363.75</v>
      </c>
      <c r="AE56">
        <v>1501.91</v>
      </c>
      <c r="AF56" s="85">
        <v>1465</v>
      </c>
      <c r="AG56" s="85">
        <v>1347.14</v>
      </c>
      <c r="AH56" s="85">
        <v>1245.49</v>
      </c>
      <c r="AI56" s="125">
        <v>1199.98</v>
      </c>
      <c r="AJ56" s="125">
        <v>1101.87</v>
      </c>
      <c r="AK56" s="125">
        <v>1002.54</v>
      </c>
      <c r="AL56" s="125">
        <v>860</v>
      </c>
      <c r="AM56" s="125">
        <v>755</v>
      </c>
      <c r="AN56" s="125">
        <v>785</v>
      </c>
      <c r="AO56" s="125">
        <v>635</v>
      </c>
      <c r="AP56" s="125">
        <v>689.39</v>
      </c>
      <c r="AQ56" s="125">
        <v>725.65</v>
      </c>
      <c r="AR56" s="125">
        <v>662.4</v>
      </c>
      <c r="AS56" s="125">
        <v>625</v>
      </c>
      <c r="AT56" s="125">
        <v>602.06</v>
      </c>
      <c r="AU56" s="252">
        <v>590.28</v>
      </c>
    </row>
    <row r="57" spans="1:47" ht="12.75">
      <c r="A57" t="s">
        <v>99</v>
      </c>
      <c r="B57">
        <f>ROUND(B56/$B$56*100,0)</f>
        <v>100</v>
      </c>
      <c r="C57">
        <f aca="true" t="shared" si="4" ref="C57:W57">ROUND(C56/$B$56*100,0)</f>
        <v>106</v>
      </c>
      <c r="D57">
        <f t="shared" si="4"/>
        <v>111</v>
      </c>
      <c r="E57">
        <f t="shared" si="4"/>
        <v>112</v>
      </c>
      <c r="F57">
        <f t="shared" si="4"/>
        <v>113</v>
      </c>
      <c r="G57">
        <f t="shared" si="4"/>
        <v>129</v>
      </c>
      <c r="H57">
        <f t="shared" si="4"/>
        <v>181</v>
      </c>
      <c r="I57">
        <f t="shared" si="4"/>
        <v>222</v>
      </c>
      <c r="J57">
        <f t="shared" si="4"/>
        <v>231</v>
      </c>
      <c r="K57">
        <f t="shared" si="4"/>
        <v>314</v>
      </c>
      <c r="L57">
        <f t="shared" si="4"/>
        <v>240</v>
      </c>
      <c r="M57">
        <f t="shared" si="4"/>
        <v>216</v>
      </c>
      <c r="N57">
        <f t="shared" si="4"/>
        <v>198</v>
      </c>
      <c r="O57">
        <f t="shared" si="4"/>
        <v>210</v>
      </c>
      <c r="P57">
        <f t="shared" si="4"/>
        <v>250</v>
      </c>
      <c r="Q57">
        <f t="shared" si="4"/>
        <v>222</v>
      </c>
      <c r="R57">
        <f t="shared" si="4"/>
        <v>202</v>
      </c>
      <c r="S57">
        <f t="shared" si="4"/>
        <v>153</v>
      </c>
      <c r="T57">
        <f t="shared" si="4"/>
        <v>138</v>
      </c>
      <c r="U57">
        <f t="shared" si="4"/>
        <v>165</v>
      </c>
      <c r="V57">
        <f t="shared" si="4"/>
        <v>132</v>
      </c>
      <c r="W57">
        <f t="shared" si="4"/>
        <v>113</v>
      </c>
      <c r="X57">
        <f aca="true" t="shared" si="5" ref="X57:AQ57">ROUND(X56/$B$56*100,0)</f>
        <v>121</v>
      </c>
      <c r="Y57">
        <f t="shared" si="5"/>
        <v>119</v>
      </c>
      <c r="Z57">
        <f t="shared" si="5"/>
        <v>105</v>
      </c>
      <c r="AA57">
        <f t="shared" si="5"/>
        <v>93</v>
      </c>
      <c r="AB57">
        <f t="shared" si="5"/>
        <v>85</v>
      </c>
      <c r="AC57">
        <f t="shared" si="5"/>
        <v>68</v>
      </c>
      <c r="AD57">
        <f t="shared" si="5"/>
        <v>80</v>
      </c>
      <c r="AE57">
        <f t="shared" si="5"/>
        <v>88</v>
      </c>
      <c r="AF57">
        <f t="shared" si="5"/>
        <v>86</v>
      </c>
      <c r="AG57">
        <f t="shared" si="5"/>
        <v>79</v>
      </c>
      <c r="AH57">
        <f t="shared" si="5"/>
        <v>73</v>
      </c>
      <c r="AI57">
        <f t="shared" si="5"/>
        <v>71</v>
      </c>
      <c r="AJ57">
        <f t="shared" si="5"/>
        <v>65</v>
      </c>
      <c r="AK57">
        <f t="shared" si="5"/>
        <v>59</v>
      </c>
      <c r="AL57">
        <f t="shared" si="5"/>
        <v>51</v>
      </c>
      <c r="AM57">
        <f t="shared" si="5"/>
        <v>44</v>
      </c>
      <c r="AN57">
        <f t="shared" si="5"/>
        <v>46</v>
      </c>
      <c r="AO57">
        <f t="shared" si="5"/>
        <v>37</v>
      </c>
      <c r="AP57">
        <f t="shared" si="5"/>
        <v>41</v>
      </c>
      <c r="AQ57">
        <f t="shared" si="5"/>
        <v>43</v>
      </c>
      <c r="AR57">
        <f>ROUND(AR56/$B$56*100,0)</f>
        <v>39</v>
      </c>
      <c r="AS57">
        <f>ROUND(AS56/$B$56*100,0)</f>
        <v>37</v>
      </c>
      <c r="AT57">
        <f>ROUND(AT56/$B$56*100,0)</f>
        <v>35</v>
      </c>
      <c r="AU57">
        <f>ROUND(AU56/$B$56*100,0)</f>
        <v>35</v>
      </c>
    </row>
    <row r="58" spans="8:13" ht="12.75">
      <c r="H58" s="43"/>
      <c r="M58" s="61"/>
    </row>
    <row r="59" spans="8:13" ht="12.75">
      <c r="H59" s="43"/>
      <c r="M59" s="61"/>
    </row>
    <row r="60" spans="8:13" ht="12.75">
      <c r="H60" s="43"/>
      <c r="M60" s="61"/>
    </row>
    <row r="61" spans="8:13" ht="12.75">
      <c r="H61" s="43"/>
      <c r="M61" s="61"/>
    </row>
    <row r="62" spans="8:13" ht="12.75">
      <c r="H62" s="43"/>
      <c r="M62" s="61"/>
    </row>
    <row r="63" spans="8:13" ht="12.75">
      <c r="H63" s="43"/>
      <c r="M63" s="61"/>
    </row>
    <row r="64" spans="8:13" ht="12.75">
      <c r="H64" s="43"/>
      <c r="M64" s="61"/>
    </row>
    <row r="65" spans="8:13" ht="12.75">
      <c r="H65" s="43"/>
      <c r="M65" s="61"/>
    </row>
    <row r="66" spans="8:13" ht="12.75">
      <c r="H66" s="43"/>
      <c r="M66" s="61"/>
    </row>
    <row r="67" ht="12.75">
      <c r="H67" s="43"/>
    </row>
    <row r="68" ht="12.75">
      <c r="H68" s="43"/>
    </row>
    <row r="69" ht="12.75">
      <c r="H69" s="43"/>
    </row>
    <row r="70" ht="12.75">
      <c r="H70" s="43"/>
    </row>
    <row r="71" ht="12.75">
      <c r="H71" s="43"/>
    </row>
    <row r="72" ht="12.75">
      <c r="H72" s="43"/>
    </row>
    <row r="73" ht="12.75">
      <c r="H73" s="43"/>
    </row>
    <row r="74" ht="12.75">
      <c r="H74" s="43"/>
    </row>
    <row r="75" ht="12.75">
      <c r="H75" s="43"/>
    </row>
  </sheetData>
  <printOptions/>
  <pageMargins left="0.62" right="0.58" top="1" bottom="1" header="0.5" footer="0.5"/>
  <pageSetup horizontalDpi="300" verticalDpi="300" orientation="portrait" paperSize="9" r:id="rId1"/>
  <headerFooter alignWithMargins="0">
    <oddHeader>&amp;CRoborough Investment Club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QUOTE.FOOL.CO.UK</dc:title>
  <dc:subject/>
  <dc:creator>Bouhallier Cyril</dc:creator>
  <cp:keywords/>
  <dc:description/>
  <cp:lastModifiedBy>Cyril Bouhallier</cp:lastModifiedBy>
  <cp:lastPrinted>2003-02-28T23:48:48Z</cp:lastPrinted>
  <dcterms:created xsi:type="dcterms:W3CDTF">1999-07-07T21:41:48Z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